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20" windowHeight="7485" tabRatio="396" activeTab="1"/>
  </bookViews>
  <sheets>
    <sheet name="Chofer C Peligrosas" sheetId="1" r:id="rId1"/>
    <sheet name="Prop 1" sheetId="2" r:id="rId2"/>
  </sheets>
  <definedNames/>
  <calcPr fullCalcOnLoad="1"/>
</workbook>
</file>

<file path=xl/sharedStrings.xml><?xml version="1.0" encoding="utf-8"?>
<sst xmlns="http://schemas.openxmlformats.org/spreadsheetml/2006/main" count="207" uniqueCount="51">
  <si>
    <t>Sueldo Básico</t>
  </si>
  <si>
    <t>Hs Extra Km Rec</t>
  </si>
  <si>
    <t>Hs Extra Km Rec 100%</t>
  </si>
  <si>
    <t>Control de Descarga</t>
  </si>
  <si>
    <t>Ad 7 Jornales</t>
  </si>
  <si>
    <t>Viático por Inactividad Forzosa</t>
  </si>
  <si>
    <t>Rem por Simple Presencia</t>
  </si>
  <si>
    <t>Concepto</t>
  </si>
  <si>
    <t>Remunerativo</t>
  </si>
  <si>
    <t>Antigüedad</t>
  </si>
  <si>
    <t>Jubilación</t>
  </si>
  <si>
    <t>Ley 19032</t>
  </si>
  <si>
    <t>Obra Social</t>
  </si>
  <si>
    <t>Cuota Sindical</t>
  </si>
  <si>
    <t>Sub-Totales</t>
  </si>
  <si>
    <t>Sueldo Neto</t>
  </si>
  <si>
    <t>Cant.</t>
  </si>
  <si>
    <t>Valor Unitario</t>
  </si>
  <si>
    <t>No Remunerativo</t>
  </si>
  <si>
    <t>Deducciones</t>
  </si>
  <si>
    <t>Viático por Km Recorrido</t>
  </si>
  <si>
    <t>Cuota Afiliación</t>
  </si>
  <si>
    <t>Bitren Carga Peligrosa 60TN libre circulacion</t>
  </si>
  <si>
    <t>+</t>
  </si>
  <si>
    <t>(+20% de Carga peligrosa mas 10% ad de bitren)</t>
  </si>
  <si>
    <t>(+20% de Carga peligrosa mas 15% ad de bitren)</t>
  </si>
  <si>
    <t>Simulador Recibo de Conductor 1ra Cat. Cargas Generales</t>
  </si>
  <si>
    <t>Simulador Recibo de Conductor 1ra Cat. Cargas Peligrosas + 20% Adicional</t>
  </si>
  <si>
    <t xml:space="preserve">Diferencia en Sueldo Neto </t>
  </si>
  <si>
    <t>No incluye descuento de Imp a las Ganancias 4ta Cat.</t>
  </si>
  <si>
    <t>Bitren Carga Peligrosa 75 TN</t>
  </si>
  <si>
    <t>Diferencia</t>
  </si>
  <si>
    <t xml:space="preserve">Jub. </t>
  </si>
  <si>
    <t>INSSJP</t>
  </si>
  <si>
    <t>FNE</t>
  </si>
  <si>
    <t>AAFF</t>
  </si>
  <si>
    <t>O.Soc.</t>
  </si>
  <si>
    <t>T Dif.</t>
  </si>
  <si>
    <t>ART</t>
  </si>
  <si>
    <t>CARGAS SOCIALES</t>
  </si>
  <si>
    <t>Sub-total</t>
  </si>
  <si>
    <t>Costo Laboral</t>
  </si>
  <si>
    <t>Sueldo de choferes de carga generales bitrenes</t>
  </si>
  <si>
    <t>Sueldo de choferes de carga Peligrosa bitrenes</t>
  </si>
  <si>
    <t>Diferencia Costo Laboral</t>
  </si>
  <si>
    <t>Diferencia Costo Laboral  %</t>
  </si>
  <si>
    <t>Dcto 814 - Art 2 Inc A</t>
  </si>
  <si>
    <t>EL PRIMER CUADRO CORRESPONDE A UN CHOFER DE CARGAS GENERALES</t>
  </si>
  <si>
    <t>EN EL CUADRO 2 SE CORRESPONDE A UN CHOFER DE CG CON UN INCREMENTO DEL 20% SOBRE TODO CONCEPTO</t>
  </si>
  <si>
    <t>EL CUADRO 3 INCLUYE EL 20% ADICIONAL QUE SE CORRESPONDE AL ADICIONAL DE CARGAS PELIGROSAS</t>
  </si>
  <si>
    <t xml:space="preserve">Diferencia entre bitren de cargas generales y peligrosa 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</si>
</sst>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&quot;$&quot;\ * #,##0.000_ ;_ &quot;$&quot;\ * \-#,##0.000_ ;_ &quot;$&quot;\ * &quot;-&quot;??_ ;_ @_ "/>
    <numFmt numFmtId="173" formatCode="_ &quot;$&quot;\ * #,##0.0000_ ;_ &quot;$&quot;\ * \-#,##0.0000_ ;_ &quot;$&quot;\ * &quot;-&quot;??_ ;_ @_ "/>
    <numFmt numFmtId="174" formatCode="_ &quot;$&quot;\ * #,##0.00000_ ;_ &quot;$&quot;\ * \-#,##0.00000_ ;_ &quot;$&quot;\ * &quot;-&quot;??_ ;_ @_ "/>
    <numFmt numFmtId="175" formatCode="_ &quot;$&quot;\ * #,##0_ ;_ &quot;$&quot;\ * \-#,##0_ ;_ &quot;$&quot;\ * &quot;-&quot;??_ ;_ @_ 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 &quot;$&quot;\ * #,##0.0_ ;_ &quot;$&quot;\ * \-#,##0.0_ ;_ &quot;$&quot;\ * &quot;-&quot;??_ ;_ @_ 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&quot;$&quot;\ * #,##0.0000_ ;_ &quot;$&quot;\ * \-#,##0.0000_ ;_ &quot;$&quot;\ * &quot;-&quot;????_ ;_ @_ "/>
    <numFmt numFmtId="188" formatCode="0.00;[Red]0.00"/>
    <numFmt numFmtId="189" formatCode="0.000%"/>
    <numFmt numFmtId="190" formatCode="_ &quot;$&quot;\ * #,##0.000000_ ;_ &quot;$&quot;\ * \-#,##0.000000_ ;_ &quot;$&quot;\ * &quot;-&quot;??_ ;_ @_ "/>
    <numFmt numFmtId="191" formatCode="_-&quot;$&quot;\ * #,##0.0_-;\-&quot;$&quot;\ * #,##0.0_-;_-&quot;$&quot;\ * &quot;-&quot;??_-;_-@_-"/>
    <numFmt numFmtId="192" formatCode="_-&quot;$&quot;\ * #,##0_-;\-&quot;$&quot;\ * #,##0_-;_-&quot;$&quot;\ * &quot;-&quot;??_-;_-@_-"/>
    <numFmt numFmtId="193" formatCode="0.0"/>
    <numFmt numFmtId="194" formatCode="_-&quot;$&quot;\ * #,##0.00000_-;\-&quot;$&quot;\ * #,##0.00000_-;_-&quot;$&quot;\ * &quot;-&quot;???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8"/>
      <color indexed="8"/>
      <name val="Arial Unicode MS"/>
      <family val="2"/>
    </font>
    <font>
      <sz val="8"/>
      <color indexed="8"/>
      <name val="Arial Unicode MS"/>
      <family val="2"/>
    </font>
    <font>
      <b/>
      <u val="single"/>
      <sz val="10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sz val="10"/>
      <color indexed="17"/>
      <name val="Arial Unicode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0"/>
      <color rgb="FFFF0000"/>
      <name val="Arial Unicode MS"/>
      <family val="2"/>
    </font>
    <font>
      <b/>
      <sz val="10"/>
      <color theme="1"/>
      <name val="Arial Unicode MS"/>
      <family val="2"/>
    </font>
    <font>
      <b/>
      <sz val="8"/>
      <color theme="1"/>
      <name val="Arial Unicode MS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0"/>
      <color rgb="FF00B050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9" fontId="2" fillId="33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 applyProtection="1">
      <alignment horizontal="center" vertical="center"/>
      <protection/>
    </xf>
    <xf numFmtId="170" fontId="2" fillId="34" borderId="0" xfId="51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47" fillId="34" borderId="10" xfId="0" applyFont="1" applyFill="1" applyBorder="1" applyAlignment="1">
      <alignment horizontal="right" vertical="center"/>
    </xf>
    <xf numFmtId="0" fontId="47" fillId="34" borderId="10" xfId="0" applyFont="1" applyFill="1" applyBorder="1" applyAlignment="1">
      <alignment horizontal="center" vertical="center"/>
    </xf>
    <xf numFmtId="170" fontId="47" fillId="34" borderId="10" xfId="51" applyFont="1" applyFill="1" applyBorder="1" applyAlignment="1">
      <alignment vertical="center"/>
    </xf>
    <xf numFmtId="170" fontId="47" fillId="34" borderId="10" xfId="51" applyFont="1" applyFill="1" applyBorder="1" applyAlignment="1">
      <alignment horizontal="center" vertical="center" wrapText="1"/>
    </xf>
    <xf numFmtId="170" fontId="48" fillId="34" borderId="10" xfId="5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right" vertical="center"/>
    </xf>
    <xf numFmtId="0" fontId="47" fillId="34" borderId="11" xfId="0" applyFont="1" applyFill="1" applyBorder="1" applyAlignment="1">
      <alignment horizontal="center" vertical="center"/>
    </xf>
    <xf numFmtId="170" fontId="47" fillId="34" borderId="11" xfId="51" applyFont="1" applyFill="1" applyBorder="1" applyAlignment="1">
      <alignment horizontal="center" vertical="center" wrapText="1"/>
    </xf>
    <xf numFmtId="170" fontId="48" fillId="34" borderId="11" xfId="51" applyFont="1" applyFill="1" applyBorder="1" applyAlignment="1">
      <alignment horizontal="center" vertical="center" wrapText="1"/>
    </xf>
    <xf numFmtId="170" fontId="47" fillId="34" borderId="11" xfId="51" applyFont="1" applyFill="1" applyBorder="1" applyAlignment="1">
      <alignment vertical="center"/>
    </xf>
    <xf numFmtId="0" fontId="47" fillId="34" borderId="11" xfId="0" applyFont="1" applyFill="1" applyBorder="1" applyAlignment="1">
      <alignment vertical="center"/>
    </xf>
    <xf numFmtId="172" fontId="47" fillId="34" borderId="11" xfId="0" applyNumberFormat="1" applyFont="1" applyFill="1" applyBorder="1" applyAlignment="1">
      <alignment vertical="center"/>
    </xf>
    <xf numFmtId="10" fontId="47" fillId="34" borderId="11" xfId="0" applyNumberFormat="1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right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vertical="center"/>
    </xf>
    <xf numFmtId="170" fontId="47" fillId="34" borderId="12" xfId="51" applyFont="1" applyFill="1" applyBorder="1" applyAlignment="1">
      <alignment horizontal="center" vertical="center" wrapText="1"/>
    </xf>
    <xf numFmtId="170" fontId="48" fillId="34" borderId="12" xfId="51" applyFont="1" applyFill="1" applyBorder="1" applyAlignment="1">
      <alignment horizontal="center" vertical="center" wrapText="1"/>
    </xf>
    <xf numFmtId="170" fontId="49" fillId="35" borderId="12" xfId="0" applyNumberFormat="1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174" fontId="47" fillId="34" borderId="11" xfId="51" applyNumberFormat="1" applyFont="1" applyFill="1" applyBorder="1" applyAlignment="1">
      <alignment vertical="center"/>
    </xf>
    <xf numFmtId="192" fontId="3" fillId="36" borderId="0" xfId="0" applyNumberFormat="1" applyFont="1" applyFill="1" applyBorder="1" applyAlignment="1" applyProtection="1">
      <alignment horizontal="center" vertical="center" wrapText="1"/>
      <protection/>
    </xf>
    <xf numFmtId="0" fontId="50" fillId="35" borderId="13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0" fontId="3" fillId="33" borderId="14" xfId="0" applyNumberFormat="1" applyFont="1" applyFill="1" applyBorder="1" applyAlignment="1" applyProtection="1">
      <alignment horizontal="center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70" fontId="49" fillId="35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9" fillId="34" borderId="0" xfId="0" applyFont="1" applyFill="1" applyBorder="1" applyAlignment="1">
      <alignment horizontal="right" vertical="center"/>
    </xf>
    <xf numFmtId="170" fontId="49" fillId="34" borderId="0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2" fillId="34" borderId="0" xfId="0" applyNumberFormat="1" applyFont="1" applyFill="1" applyBorder="1" applyAlignment="1" applyProtection="1">
      <alignment horizontal="center"/>
      <protection/>
    </xf>
    <xf numFmtId="9" fontId="3" fillId="33" borderId="14" xfId="0" applyNumberFormat="1" applyFont="1" applyFill="1" applyBorder="1" applyAlignment="1" applyProtection="1">
      <alignment horizontal="center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>
      <alignment horizontal="center" vertical="center"/>
    </xf>
    <xf numFmtId="175" fontId="47" fillId="34" borderId="10" xfId="51" applyNumberFormat="1" applyFont="1" applyFill="1" applyBorder="1" applyAlignment="1">
      <alignment horizontal="center" vertical="center" wrapText="1"/>
    </xf>
    <xf numFmtId="175" fontId="47" fillId="34" borderId="11" xfId="51" applyNumberFormat="1" applyFont="1" applyFill="1" applyBorder="1" applyAlignment="1">
      <alignment horizontal="center" vertical="center" wrapText="1"/>
    </xf>
    <xf numFmtId="175" fontId="47" fillId="34" borderId="12" xfId="0" applyNumberFormat="1" applyFont="1" applyFill="1" applyBorder="1" applyAlignment="1">
      <alignment horizontal="right" vertical="center"/>
    </xf>
    <xf numFmtId="175" fontId="47" fillId="34" borderId="12" xfId="0" applyNumberFormat="1" applyFont="1" applyFill="1" applyBorder="1" applyAlignment="1">
      <alignment horizontal="center" vertical="center"/>
    </xf>
    <xf numFmtId="175" fontId="47" fillId="34" borderId="12" xfId="0" applyNumberFormat="1" applyFont="1" applyFill="1" applyBorder="1" applyAlignment="1">
      <alignment vertical="center"/>
    </xf>
    <xf numFmtId="175" fontId="47" fillId="34" borderId="12" xfId="51" applyNumberFormat="1" applyFont="1" applyFill="1" applyBorder="1" applyAlignment="1">
      <alignment horizontal="center" vertical="center" wrapText="1"/>
    </xf>
    <xf numFmtId="175" fontId="48" fillId="34" borderId="12" xfId="51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9" fontId="2" fillId="34" borderId="0" xfId="0" applyNumberFormat="1" applyFont="1" applyFill="1" applyBorder="1" applyAlignment="1" applyProtection="1">
      <alignment horizontal="center" vertical="center"/>
      <protection/>
    </xf>
    <xf numFmtId="188" fontId="2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NumberFormat="1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horizontal="center" vertical="center"/>
      <protection/>
    </xf>
    <xf numFmtId="175" fontId="49" fillId="34" borderId="12" xfId="0" applyNumberFormat="1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174" fontId="47" fillId="34" borderId="11" xfId="0" applyNumberFormat="1" applyFont="1" applyFill="1" applyBorder="1" applyAlignment="1">
      <alignment vertical="center"/>
    </xf>
    <xf numFmtId="0" fontId="51" fillId="34" borderId="0" xfId="0" applyFont="1" applyFill="1" applyAlignment="1">
      <alignment/>
    </xf>
    <xf numFmtId="10" fontId="5" fillId="34" borderId="12" xfId="0" applyNumberFormat="1" applyFont="1" applyFill="1" applyBorder="1" applyAlignment="1" applyProtection="1">
      <alignment horizontal="center" vertical="center"/>
      <protection/>
    </xf>
    <xf numFmtId="10" fontId="5" fillId="34" borderId="12" xfId="0" applyNumberFormat="1" applyFont="1" applyFill="1" applyBorder="1" applyAlignment="1" applyProtection="1">
      <alignment vertical="center"/>
      <protection/>
    </xf>
    <xf numFmtId="9" fontId="5" fillId="34" borderId="12" xfId="0" applyNumberFormat="1" applyFont="1" applyFill="1" applyBorder="1" applyAlignment="1" applyProtection="1">
      <alignment horizontal="center" vertical="center"/>
      <protection/>
    </xf>
    <xf numFmtId="175" fontId="3" fillId="36" borderId="12" xfId="0" applyNumberFormat="1" applyFont="1" applyFill="1" applyBorder="1" applyAlignment="1" applyProtection="1">
      <alignment vertical="center"/>
      <protection/>
    </xf>
    <xf numFmtId="175" fontId="5" fillId="34" borderId="12" xfId="51" applyNumberFormat="1" applyFont="1" applyFill="1" applyBorder="1" applyAlignment="1" applyProtection="1">
      <alignment horizontal="center" vertical="center" wrapText="1"/>
      <protection/>
    </xf>
    <xf numFmtId="175" fontId="5" fillId="34" borderId="12" xfId="0" applyNumberFormat="1" applyFont="1" applyFill="1" applyBorder="1" applyAlignment="1" applyProtection="1">
      <alignment vertical="center"/>
      <protection/>
    </xf>
    <xf numFmtId="175" fontId="4" fillId="34" borderId="12" xfId="0" applyNumberFormat="1" applyFont="1" applyFill="1" applyBorder="1" applyAlignment="1" applyProtection="1">
      <alignment horizontal="center" vertical="center"/>
      <protection/>
    </xf>
    <xf numFmtId="9" fontId="49" fillId="36" borderId="12" xfId="0" applyNumberFormat="1" applyFont="1" applyFill="1" applyBorder="1" applyAlignment="1">
      <alignment horizontal="center"/>
    </xf>
    <xf numFmtId="10" fontId="3" fillId="36" borderId="17" xfId="55" applyNumberFormat="1" applyFont="1" applyFill="1" applyBorder="1" applyAlignment="1" applyProtection="1">
      <alignment vertical="center"/>
      <protection/>
    </xf>
    <xf numFmtId="175" fontId="3" fillId="36" borderId="18" xfId="0" applyNumberFormat="1" applyFont="1" applyFill="1" applyBorder="1" applyAlignment="1" applyProtection="1">
      <alignment vertical="center"/>
      <protection/>
    </xf>
    <xf numFmtId="175" fontId="3" fillId="34" borderId="0" xfId="0" applyNumberFormat="1" applyFont="1" applyFill="1" applyBorder="1" applyAlignment="1" applyProtection="1">
      <alignment vertical="center"/>
      <protection/>
    </xf>
    <xf numFmtId="170" fontId="2" fillId="33" borderId="0" xfId="0" applyNumberFormat="1" applyFont="1" applyFill="1" applyBorder="1" applyAlignment="1" applyProtection="1">
      <alignment vertical="center"/>
      <protection/>
    </xf>
    <xf numFmtId="0" fontId="4" fillId="36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51" fillId="34" borderId="20" xfId="0" applyFont="1" applyFill="1" applyBorder="1" applyAlignment="1">
      <alignment/>
    </xf>
    <xf numFmtId="0" fontId="51" fillId="34" borderId="21" xfId="0" applyFont="1" applyFill="1" applyBorder="1" applyAlignment="1">
      <alignment/>
    </xf>
    <xf numFmtId="0" fontId="4" fillId="34" borderId="21" xfId="0" applyNumberFormat="1" applyFont="1" applyFill="1" applyBorder="1" applyAlignment="1" applyProtection="1">
      <alignment horizontal="center" vertical="center" wrapText="1"/>
      <protection/>
    </xf>
    <xf numFmtId="0" fontId="2" fillId="34" borderId="21" xfId="0" applyNumberFormat="1" applyFont="1" applyFill="1" applyBorder="1" applyAlignment="1" applyProtection="1">
      <alignment vertical="center"/>
      <protection/>
    </xf>
    <xf numFmtId="0" fontId="5" fillId="34" borderId="21" xfId="0" applyNumberFormat="1" applyFont="1" applyFill="1" applyBorder="1" applyAlignment="1" applyProtection="1">
      <alignment vertical="center"/>
      <protection/>
    </xf>
    <xf numFmtId="0" fontId="51" fillId="34" borderId="22" xfId="0" applyFont="1" applyFill="1" applyBorder="1" applyAlignment="1">
      <alignment/>
    </xf>
    <xf numFmtId="9" fontId="2" fillId="34" borderId="21" xfId="0" applyNumberFormat="1" applyFont="1" applyFill="1" applyBorder="1" applyAlignment="1" applyProtection="1">
      <alignment horizontal="center" vertical="center"/>
      <protection/>
    </xf>
    <xf numFmtId="175" fontId="2" fillId="34" borderId="21" xfId="0" applyNumberFormat="1" applyFont="1" applyFill="1" applyBorder="1" applyAlignment="1" applyProtection="1">
      <alignment vertical="center"/>
      <protection/>
    </xf>
    <xf numFmtId="0" fontId="51" fillId="34" borderId="23" xfId="0" applyFont="1" applyFill="1" applyBorder="1" applyAlignment="1">
      <alignment/>
    </xf>
    <xf numFmtId="0" fontId="51" fillId="34" borderId="24" xfId="0" applyFont="1" applyFill="1" applyBorder="1" applyAlignment="1">
      <alignment/>
    </xf>
    <xf numFmtId="0" fontId="51" fillId="34" borderId="25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51" fillId="34" borderId="26" xfId="0" applyFont="1" applyFill="1" applyBorder="1" applyAlignment="1">
      <alignment/>
    </xf>
    <xf numFmtId="0" fontId="4" fillId="34" borderId="26" xfId="0" applyNumberFormat="1" applyFont="1" applyFill="1" applyBorder="1" applyAlignment="1" applyProtection="1">
      <alignment horizontal="center" vertical="center" wrapText="1"/>
      <protection/>
    </xf>
    <xf numFmtId="0" fontId="2" fillId="34" borderId="26" xfId="0" applyNumberFormat="1" applyFont="1" applyFill="1" applyBorder="1" applyAlignment="1" applyProtection="1">
      <alignment vertical="center"/>
      <protection/>
    </xf>
    <xf numFmtId="9" fontId="2" fillId="34" borderId="26" xfId="0" applyNumberFormat="1" applyFont="1" applyFill="1" applyBorder="1" applyAlignment="1" applyProtection="1">
      <alignment horizontal="center" vertical="center"/>
      <protection/>
    </xf>
    <xf numFmtId="0" fontId="5" fillId="34" borderId="26" xfId="0" applyNumberFormat="1" applyFont="1" applyFill="1" applyBorder="1" applyAlignment="1" applyProtection="1">
      <alignment vertical="center"/>
      <protection/>
    </xf>
    <xf numFmtId="0" fontId="51" fillId="34" borderId="27" xfId="0" applyFont="1" applyFill="1" applyBorder="1" applyAlignment="1">
      <alignment/>
    </xf>
    <xf numFmtId="10" fontId="5" fillId="34" borderId="0" xfId="0" applyNumberFormat="1" applyFont="1" applyFill="1" applyBorder="1" applyAlignment="1" applyProtection="1">
      <alignment horizontal="center" vertical="center"/>
      <protection/>
    </xf>
    <xf numFmtId="10" fontId="5" fillId="34" borderId="0" xfId="0" applyNumberFormat="1" applyFont="1" applyFill="1" applyBorder="1" applyAlignment="1" applyProtection="1">
      <alignment vertical="center"/>
      <protection/>
    </xf>
    <xf numFmtId="9" fontId="5" fillId="34" borderId="0" xfId="0" applyNumberFormat="1" applyFont="1" applyFill="1" applyBorder="1" applyAlignment="1" applyProtection="1">
      <alignment horizontal="center" vertical="center"/>
      <protection/>
    </xf>
    <xf numFmtId="175" fontId="5" fillId="34" borderId="0" xfId="51" applyNumberFormat="1" applyFont="1" applyFill="1" applyBorder="1" applyAlignment="1" applyProtection="1">
      <alignment horizontal="center" vertical="center" wrapText="1"/>
      <protection/>
    </xf>
    <xf numFmtId="175" fontId="5" fillId="34" borderId="0" xfId="0" applyNumberFormat="1" applyFont="1" applyFill="1" applyBorder="1" applyAlignment="1" applyProtection="1">
      <alignment vertical="center"/>
      <protection/>
    </xf>
    <xf numFmtId="175" fontId="4" fillId="34" borderId="0" xfId="0" applyNumberFormat="1" applyFont="1" applyFill="1" applyBorder="1" applyAlignment="1" applyProtection="1">
      <alignment horizontal="center" vertical="center"/>
      <protection/>
    </xf>
    <xf numFmtId="0" fontId="52" fillId="34" borderId="24" xfId="0" applyFont="1" applyFill="1" applyBorder="1" applyAlignment="1">
      <alignment/>
    </xf>
    <xf numFmtId="0" fontId="53" fillId="34" borderId="0" xfId="0" applyNumberFormat="1" applyFont="1" applyFill="1" applyBorder="1" applyAlignment="1" applyProtection="1">
      <alignment vertical="center"/>
      <protection/>
    </xf>
    <xf numFmtId="0" fontId="49" fillId="35" borderId="28" xfId="0" applyFont="1" applyFill="1" applyBorder="1" applyAlignment="1">
      <alignment horizontal="right" vertical="center"/>
    </xf>
    <xf numFmtId="0" fontId="49" fillId="35" borderId="29" xfId="0" applyFont="1" applyFill="1" applyBorder="1" applyAlignment="1">
      <alignment horizontal="right" vertical="center"/>
    </xf>
    <xf numFmtId="0" fontId="49" fillId="35" borderId="30" xfId="0" applyFont="1" applyFill="1" applyBorder="1" applyAlignment="1">
      <alignment horizontal="right" vertical="center"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9" fillId="35" borderId="31" xfId="0" applyFont="1" applyFill="1" applyBorder="1" applyAlignment="1">
      <alignment horizontal="right" vertical="center"/>
    </xf>
    <xf numFmtId="0" fontId="49" fillId="35" borderId="32" xfId="0" applyFont="1" applyFill="1" applyBorder="1" applyAlignment="1">
      <alignment horizontal="right" vertical="center"/>
    </xf>
    <xf numFmtId="0" fontId="49" fillId="35" borderId="33" xfId="0" applyFont="1" applyFill="1" applyBorder="1" applyAlignment="1">
      <alignment horizontal="right" vertical="center"/>
    </xf>
    <xf numFmtId="0" fontId="4" fillId="37" borderId="28" xfId="0" applyNumberFormat="1" applyFont="1" applyFill="1" applyBorder="1" applyAlignment="1" applyProtection="1">
      <alignment horizontal="center" vertical="center" wrapText="1"/>
      <protection/>
    </xf>
    <xf numFmtId="0" fontId="4" fillId="37" borderId="29" xfId="0" applyNumberFormat="1" applyFont="1" applyFill="1" applyBorder="1" applyAlignment="1" applyProtection="1">
      <alignment horizontal="center" vertical="center" wrapText="1"/>
      <protection/>
    </xf>
    <xf numFmtId="0" fontId="4" fillId="37" borderId="3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175" fontId="49" fillId="34" borderId="28" xfId="0" applyNumberFormat="1" applyFont="1" applyFill="1" applyBorder="1" applyAlignment="1">
      <alignment horizontal="right" vertical="center"/>
    </xf>
    <xf numFmtId="175" fontId="49" fillId="34" borderId="29" xfId="0" applyNumberFormat="1" applyFont="1" applyFill="1" applyBorder="1" applyAlignment="1">
      <alignment horizontal="right" vertical="center"/>
    </xf>
    <xf numFmtId="175" fontId="49" fillId="34" borderId="30" xfId="0" applyNumberFormat="1" applyFont="1" applyFill="1" applyBorder="1" applyAlignment="1">
      <alignment horizontal="right" vertical="center"/>
    </xf>
    <xf numFmtId="0" fontId="4" fillId="36" borderId="13" xfId="0" applyNumberFormat="1" applyFont="1" applyFill="1" applyBorder="1" applyAlignment="1" applyProtection="1">
      <alignment horizontal="center" vertical="center" wrapText="1"/>
      <protection/>
    </xf>
    <xf numFmtId="0" fontId="4" fillId="36" borderId="12" xfId="0" applyNumberFormat="1" applyFont="1" applyFill="1" applyBorder="1" applyAlignment="1" applyProtection="1">
      <alignment horizontal="center" vertical="center" wrapText="1"/>
      <protection/>
    </xf>
    <xf numFmtId="9" fontId="3" fillId="36" borderId="12" xfId="55" applyFont="1" applyFill="1" applyBorder="1" applyAlignment="1" applyProtection="1">
      <alignment horizontal="center" vertical="center"/>
      <protection/>
    </xf>
    <xf numFmtId="175" fontId="3" fillId="36" borderId="12" xfId="0" applyNumberFormat="1" applyFont="1" applyFill="1" applyBorder="1" applyAlignment="1" applyProtection="1">
      <alignment horizontal="center" vertical="center"/>
      <protection/>
    </xf>
    <xf numFmtId="0" fontId="3" fillId="36" borderId="12" xfId="0" applyNumberFormat="1" applyFont="1" applyFill="1" applyBorder="1" applyAlignment="1" applyProtection="1">
      <alignment horizontal="center" vertical="center"/>
      <protection/>
    </xf>
    <xf numFmtId="0" fontId="3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4" xfId="0" applyNumberFormat="1" applyFont="1" applyFill="1" applyBorder="1" applyAlignment="1" applyProtection="1">
      <alignment horizontal="center" vertical="center"/>
      <protection/>
    </xf>
    <xf numFmtId="0" fontId="3" fillId="34" borderId="1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4"/>
  <sheetViews>
    <sheetView zoomScalePageLayoutView="0" workbookViewId="0" topLeftCell="A1">
      <selection activeCell="K14" sqref="K14"/>
    </sheetView>
  </sheetViews>
  <sheetFormatPr defaultColWidth="11.421875" defaultRowHeight="15"/>
  <cols>
    <col min="1" max="1" width="3.8515625" style="1" customWidth="1"/>
    <col min="2" max="2" width="26.421875" style="2" customWidth="1"/>
    <col min="3" max="3" width="8.28125" style="3" customWidth="1"/>
    <col min="4" max="4" width="13.421875" style="1" customWidth="1"/>
    <col min="5" max="5" width="12.28125" style="4" customWidth="1"/>
    <col min="6" max="6" width="12.421875" style="4" customWidth="1"/>
    <col min="7" max="7" width="14.8515625" style="4" bestFit="1" customWidth="1"/>
    <col min="8" max="8" width="2.28125" style="1" customWidth="1"/>
    <col min="9" max="9" width="11.421875" style="3" customWidth="1"/>
    <col min="10" max="10" width="12.28125" style="1" bestFit="1" customWidth="1"/>
    <col min="11" max="16384" width="11.421875" style="1" customWidth="1"/>
  </cols>
  <sheetData>
    <row r="2" spans="2:7" ht="12.75">
      <c r="B2" s="112" t="s">
        <v>26</v>
      </c>
      <c r="C2" s="112"/>
      <c r="D2" s="112"/>
      <c r="E2" s="112"/>
      <c r="F2" s="112"/>
      <c r="G2" s="112"/>
    </row>
    <row r="4" spans="2:7" s="11" customFormat="1" ht="26.25" customHeight="1">
      <c r="B4" s="33" t="s">
        <v>7</v>
      </c>
      <c r="C4" s="33" t="s">
        <v>16</v>
      </c>
      <c r="D4" s="33" t="s">
        <v>17</v>
      </c>
      <c r="E4" s="33" t="s">
        <v>8</v>
      </c>
      <c r="F4" s="33" t="s">
        <v>18</v>
      </c>
      <c r="G4" s="33" t="s">
        <v>19</v>
      </c>
    </row>
    <row r="5" spans="2:9" s="5" customFormat="1" ht="19.5" customHeight="1">
      <c r="B5" s="14" t="s">
        <v>0</v>
      </c>
      <c r="C5" s="15">
        <v>30</v>
      </c>
      <c r="D5" s="16">
        <v>21898.03</v>
      </c>
      <c r="E5" s="17">
        <f>(D5/30)*C5</f>
        <v>21898.03</v>
      </c>
      <c r="F5" s="17"/>
      <c r="G5" s="18"/>
      <c r="I5" s="10"/>
    </row>
    <row r="6" spans="2:10" s="5" customFormat="1" ht="19.5" customHeight="1">
      <c r="B6" s="19" t="s">
        <v>1</v>
      </c>
      <c r="C6" s="20">
        <v>10000</v>
      </c>
      <c r="D6" s="34">
        <v>1.75187</v>
      </c>
      <c r="E6" s="21">
        <f>+C6*D6</f>
        <v>17518.7</v>
      </c>
      <c r="F6" s="21"/>
      <c r="G6" s="22"/>
      <c r="I6" s="9"/>
      <c r="J6" s="79"/>
    </row>
    <row r="7" spans="2:9" s="5" customFormat="1" ht="19.5" customHeight="1">
      <c r="B7" s="19" t="s">
        <v>2</v>
      </c>
      <c r="C7" s="20">
        <v>3000</v>
      </c>
      <c r="D7" s="34">
        <f>+D6*2</f>
        <v>3.50374</v>
      </c>
      <c r="E7" s="21">
        <f>+C7*D7</f>
        <v>10511.22</v>
      </c>
      <c r="F7" s="21"/>
      <c r="G7" s="22"/>
      <c r="H7" s="7"/>
      <c r="I7" s="9"/>
    </row>
    <row r="8" spans="2:9" s="5" customFormat="1" ht="19.5" customHeight="1">
      <c r="B8" s="19" t="s">
        <v>3</v>
      </c>
      <c r="C8" s="20">
        <v>8</v>
      </c>
      <c r="D8" s="23">
        <f>D5/24</f>
        <v>912.4179166666667</v>
      </c>
      <c r="E8" s="21">
        <f>+C8*D8</f>
        <v>7299.343333333333</v>
      </c>
      <c r="F8" s="21"/>
      <c r="G8" s="22"/>
      <c r="H8" s="7"/>
      <c r="I8" s="9"/>
    </row>
    <row r="9" spans="2:9" s="5" customFormat="1" ht="19.5" customHeight="1">
      <c r="B9" s="19" t="s">
        <v>4</v>
      </c>
      <c r="C9" s="20">
        <v>7</v>
      </c>
      <c r="D9" s="23">
        <f>+D5/24</f>
        <v>912.4179166666667</v>
      </c>
      <c r="E9" s="21">
        <f>+D9*C9</f>
        <v>6386.925416666667</v>
      </c>
      <c r="F9" s="21"/>
      <c r="G9" s="22"/>
      <c r="H9" s="7"/>
      <c r="I9" s="9"/>
    </row>
    <row r="10" spans="2:9" s="5" customFormat="1" ht="19.5" customHeight="1">
      <c r="B10" s="19" t="s">
        <v>6</v>
      </c>
      <c r="C10" s="20">
        <v>1</v>
      </c>
      <c r="D10" s="23">
        <v>619.84</v>
      </c>
      <c r="E10" s="21">
        <f>+D10*C10</f>
        <v>619.84</v>
      </c>
      <c r="F10" s="21"/>
      <c r="G10" s="22"/>
      <c r="I10" s="6"/>
    </row>
    <row r="11" spans="2:7" s="5" customFormat="1" ht="19.5" customHeight="1">
      <c r="B11" s="19" t="s">
        <v>9</v>
      </c>
      <c r="C11" s="20">
        <v>4</v>
      </c>
      <c r="D11" s="24"/>
      <c r="E11" s="21">
        <f>SUM(E5:E10)*0.01*C11</f>
        <v>2569.3623499999994</v>
      </c>
      <c r="F11" s="21"/>
      <c r="G11" s="22"/>
    </row>
    <row r="12" spans="2:7" s="5" customFormat="1" ht="19.5" customHeight="1">
      <c r="B12" s="19" t="s">
        <v>5</v>
      </c>
      <c r="C12" s="20">
        <f>+C10</f>
        <v>1</v>
      </c>
      <c r="D12" s="24">
        <v>1182.53</v>
      </c>
      <c r="E12" s="21"/>
      <c r="F12" s="21">
        <f>+D12*C12</f>
        <v>1182.53</v>
      </c>
      <c r="G12" s="22"/>
    </row>
    <row r="13" spans="2:9" s="5" customFormat="1" ht="19.5" customHeight="1">
      <c r="B13" s="19" t="s">
        <v>20</v>
      </c>
      <c r="C13" s="20">
        <f>+C6+C7</f>
        <v>13000</v>
      </c>
      <c r="D13" s="66">
        <f>+D6</f>
        <v>1.75187</v>
      </c>
      <c r="E13" s="21"/>
      <c r="F13" s="21">
        <f>+C13*D13</f>
        <v>22774.31</v>
      </c>
      <c r="G13" s="22"/>
      <c r="I13" s="6"/>
    </row>
    <row r="14" spans="2:9" s="5" customFormat="1" ht="19.5" customHeight="1">
      <c r="B14" s="19" t="s">
        <v>10</v>
      </c>
      <c r="C14" s="26">
        <v>0.11</v>
      </c>
      <c r="D14" s="24"/>
      <c r="E14" s="21"/>
      <c r="F14" s="21"/>
      <c r="G14" s="22">
        <f>+E19*C14</f>
        <v>7348.376320999999</v>
      </c>
      <c r="I14" s="6"/>
    </row>
    <row r="15" spans="2:9" s="5" customFormat="1" ht="19.5" customHeight="1">
      <c r="B15" s="19" t="s">
        <v>11</v>
      </c>
      <c r="C15" s="26">
        <v>0.03</v>
      </c>
      <c r="D15" s="24"/>
      <c r="E15" s="21"/>
      <c r="F15" s="21"/>
      <c r="G15" s="22">
        <f>+E19*C15</f>
        <v>2004.1026329999997</v>
      </c>
      <c r="I15" s="8"/>
    </row>
    <row r="16" spans="2:9" s="5" customFormat="1" ht="19.5" customHeight="1">
      <c r="B16" s="19" t="s">
        <v>12</v>
      </c>
      <c r="C16" s="26">
        <v>0.03</v>
      </c>
      <c r="D16" s="24"/>
      <c r="E16" s="21"/>
      <c r="F16" s="21"/>
      <c r="G16" s="22">
        <f>+E19*C16</f>
        <v>2004.1026329999997</v>
      </c>
      <c r="I16" s="6"/>
    </row>
    <row r="17" spans="2:9" s="5" customFormat="1" ht="19.5" customHeight="1">
      <c r="B17" s="19" t="s">
        <v>13</v>
      </c>
      <c r="C17" s="26">
        <v>0.03</v>
      </c>
      <c r="D17" s="24"/>
      <c r="E17" s="21"/>
      <c r="F17" s="21"/>
      <c r="G17" s="22">
        <f>+E19*C17</f>
        <v>2004.1026329999997</v>
      </c>
      <c r="I17" s="6"/>
    </row>
    <row r="18" spans="2:9" s="12" customFormat="1" ht="19.5" customHeight="1">
      <c r="B18" s="19" t="s">
        <v>21</v>
      </c>
      <c r="C18" s="26"/>
      <c r="D18" s="24"/>
      <c r="E18" s="21"/>
      <c r="F18" s="21"/>
      <c r="G18" s="22">
        <v>208.06</v>
      </c>
      <c r="I18" s="13"/>
    </row>
    <row r="19" spans="2:9" s="5" customFormat="1" ht="19.5" customHeight="1">
      <c r="B19" s="27" t="s">
        <v>14</v>
      </c>
      <c r="C19" s="28"/>
      <c r="D19" s="29"/>
      <c r="E19" s="30">
        <f>SUM(E5:E18)</f>
        <v>66803.42109999999</v>
      </c>
      <c r="F19" s="30">
        <f>SUM(F5:F18)</f>
        <v>23956.84</v>
      </c>
      <c r="G19" s="31">
        <f>SUM(G5:G18)</f>
        <v>13568.744219999999</v>
      </c>
      <c r="I19" s="6"/>
    </row>
    <row r="20" spans="2:9" s="5" customFormat="1" ht="19.5" customHeight="1">
      <c r="B20" s="114" t="s">
        <v>15</v>
      </c>
      <c r="C20" s="115"/>
      <c r="D20" s="115"/>
      <c r="E20" s="115"/>
      <c r="F20" s="116"/>
      <c r="G20" s="41">
        <f>+E19+F19-G19</f>
        <v>77191.51688</v>
      </c>
      <c r="I20" s="6"/>
    </row>
    <row r="21" spans="2:9" s="45" customFormat="1" ht="19.5" customHeight="1">
      <c r="B21" s="43"/>
      <c r="C21" s="43"/>
      <c r="D21" s="43"/>
      <c r="E21" s="43"/>
      <c r="F21" s="43"/>
      <c r="G21" s="44"/>
      <c r="I21" s="10"/>
    </row>
    <row r="22" spans="2:7" ht="12.75">
      <c r="B22" s="112" t="s">
        <v>27</v>
      </c>
      <c r="C22" s="112"/>
      <c r="D22" s="112"/>
      <c r="E22" s="112"/>
      <c r="F22" s="112"/>
      <c r="G22" s="112"/>
    </row>
    <row r="23" spans="2:7" ht="12.75">
      <c r="B23" s="42"/>
      <c r="C23" s="42"/>
      <c r="D23" s="42"/>
      <c r="E23" s="42"/>
      <c r="F23" s="42"/>
      <c r="G23" s="42"/>
    </row>
    <row r="24" spans="2:7" s="11" customFormat="1" ht="26.25" customHeight="1">
      <c r="B24" s="36" t="s">
        <v>7</v>
      </c>
      <c r="C24" s="36" t="s">
        <v>16</v>
      </c>
      <c r="D24" s="36" t="s">
        <v>17</v>
      </c>
      <c r="E24" s="33" t="s">
        <v>8</v>
      </c>
      <c r="F24" s="33" t="s">
        <v>18</v>
      </c>
      <c r="G24" s="33" t="s">
        <v>19</v>
      </c>
    </row>
    <row r="25" spans="2:9" s="5" customFormat="1" ht="19.5" customHeight="1">
      <c r="B25" s="14" t="s">
        <v>0</v>
      </c>
      <c r="C25" s="15">
        <v>30</v>
      </c>
      <c r="D25" s="16">
        <f>+D5*1.2</f>
        <v>26277.636</v>
      </c>
      <c r="E25" s="17">
        <f>(D25/30)*C25</f>
        <v>26277.636</v>
      </c>
      <c r="F25" s="17"/>
      <c r="G25" s="18"/>
      <c r="I25" s="10"/>
    </row>
    <row r="26" spans="2:9" s="5" customFormat="1" ht="19.5" customHeight="1">
      <c r="B26" s="19" t="s">
        <v>1</v>
      </c>
      <c r="C26" s="20">
        <v>10000</v>
      </c>
      <c r="D26" s="34">
        <f>+D6*1.2</f>
        <v>2.102244</v>
      </c>
      <c r="E26" s="21">
        <f>+C26*D26</f>
        <v>21022.44</v>
      </c>
      <c r="F26" s="21"/>
      <c r="G26" s="22"/>
      <c r="I26" s="9"/>
    </row>
    <row r="27" spans="2:9" s="5" customFormat="1" ht="19.5" customHeight="1">
      <c r="B27" s="19" t="s">
        <v>2</v>
      </c>
      <c r="C27" s="20">
        <v>3000</v>
      </c>
      <c r="D27" s="34">
        <f>+D26*2</f>
        <v>4.204488</v>
      </c>
      <c r="E27" s="21">
        <f>+C27*D27</f>
        <v>12613.463999999998</v>
      </c>
      <c r="F27" s="21"/>
      <c r="G27" s="22"/>
      <c r="H27" s="7"/>
      <c r="I27" s="9"/>
    </row>
    <row r="28" spans="2:9" s="5" customFormat="1" ht="19.5" customHeight="1">
      <c r="B28" s="19" t="s">
        <v>3</v>
      </c>
      <c r="C28" s="20">
        <v>8</v>
      </c>
      <c r="D28" s="23">
        <f>+D8*1.2</f>
        <v>1094.9015</v>
      </c>
      <c r="E28" s="21">
        <f>+C28*D28</f>
        <v>8759.212</v>
      </c>
      <c r="F28" s="21"/>
      <c r="G28" s="22"/>
      <c r="H28" s="7"/>
      <c r="I28" s="9"/>
    </row>
    <row r="29" spans="2:9" s="5" customFormat="1" ht="19.5" customHeight="1">
      <c r="B29" s="19" t="s">
        <v>4</v>
      </c>
      <c r="C29" s="20">
        <v>7</v>
      </c>
      <c r="D29" s="23">
        <f>+D25/24</f>
        <v>1094.9015</v>
      </c>
      <c r="E29" s="21">
        <f>+D29*C29</f>
        <v>7664.3105</v>
      </c>
      <c r="F29" s="21"/>
      <c r="G29" s="22"/>
      <c r="H29" s="7"/>
      <c r="I29" s="9"/>
    </row>
    <row r="30" spans="2:9" s="5" customFormat="1" ht="19.5" customHeight="1">
      <c r="B30" s="19" t="s">
        <v>6</v>
      </c>
      <c r="C30" s="20">
        <v>1</v>
      </c>
      <c r="D30" s="23">
        <f>+D10*1.2</f>
        <v>743.808</v>
      </c>
      <c r="E30" s="21">
        <f>+D30*C30</f>
        <v>743.808</v>
      </c>
      <c r="F30" s="21"/>
      <c r="G30" s="22"/>
      <c r="I30" s="6"/>
    </row>
    <row r="31" spans="2:7" s="5" customFormat="1" ht="19.5" customHeight="1">
      <c r="B31" s="19" t="s">
        <v>9</v>
      </c>
      <c r="C31" s="20">
        <v>4</v>
      </c>
      <c r="D31" s="24"/>
      <c r="E31" s="21">
        <f>SUM(E25:E30)*0.01*C31</f>
        <v>3083.23482</v>
      </c>
      <c r="F31" s="21"/>
      <c r="G31" s="22"/>
    </row>
    <row r="32" spans="2:7" s="5" customFormat="1" ht="19.5" customHeight="1">
      <c r="B32" s="19" t="s">
        <v>5</v>
      </c>
      <c r="C32" s="20">
        <f>+C30</f>
        <v>1</v>
      </c>
      <c r="D32" s="24">
        <f>+D12*1.2</f>
        <v>1419.0359999999998</v>
      </c>
      <c r="E32" s="21"/>
      <c r="F32" s="21">
        <f>+D32*C32</f>
        <v>1419.0359999999998</v>
      </c>
      <c r="G32" s="22"/>
    </row>
    <row r="33" spans="2:9" s="5" customFormat="1" ht="19.5" customHeight="1">
      <c r="B33" s="19" t="s">
        <v>20</v>
      </c>
      <c r="C33" s="20">
        <f>+C26+C27</f>
        <v>13000</v>
      </c>
      <c r="D33" s="66">
        <f>+D26</f>
        <v>2.102244</v>
      </c>
      <c r="E33" s="21"/>
      <c r="F33" s="21">
        <f>+C33*D33</f>
        <v>27329.172</v>
      </c>
      <c r="G33" s="22"/>
      <c r="I33" s="6"/>
    </row>
    <row r="34" spans="2:9" s="5" customFormat="1" ht="19.5" customHeight="1">
      <c r="B34" s="19" t="s">
        <v>10</v>
      </c>
      <c r="C34" s="26">
        <v>0.11</v>
      </c>
      <c r="D34" s="24"/>
      <c r="E34" s="21"/>
      <c r="F34" s="21"/>
      <c r="G34" s="22">
        <f>+E39*C34</f>
        <v>8818.0515852</v>
      </c>
      <c r="I34" s="6"/>
    </row>
    <row r="35" spans="2:9" s="5" customFormat="1" ht="19.5" customHeight="1">
      <c r="B35" s="19" t="s">
        <v>11</v>
      </c>
      <c r="C35" s="26">
        <v>0.03</v>
      </c>
      <c r="D35" s="24"/>
      <c r="E35" s="21"/>
      <c r="F35" s="21"/>
      <c r="G35" s="22">
        <f>+E39*C35</f>
        <v>2404.9231596</v>
      </c>
      <c r="I35" s="8"/>
    </row>
    <row r="36" spans="2:9" s="5" customFormat="1" ht="19.5" customHeight="1">
      <c r="B36" s="19" t="s">
        <v>12</v>
      </c>
      <c r="C36" s="26">
        <v>0.03</v>
      </c>
      <c r="D36" s="24"/>
      <c r="E36" s="21"/>
      <c r="F36" s="21"/>
      <c r="G36" s="22">
        <f>+E39*C36</f>
        <v>2404.9231596</v>
      </c>
      <c r="I36" s="6"/>
    </row>
    <row r="37" spans="2:9" s="5" customFormat="1" ht="19.5" customHeight="1">
      <c r="B37" s="19" t="s">
        <v>13</v>
      </c>
      <c r="C37" s="26">
        <v>0.03</v>
      </c>
      <c r="D37" s="24"/>
      <c r="E37" s="21"/>
      <c r="F37" s="21"/>
      <c r="G37" s="22">
        <f>+E39*C37</f>
        <v>2404.9231596</v>
      </c>
      <c r="I37" s="6"/>
    </row>
    <row r="38" spans="2:9" s="12" customFormat="1" ht="19.5" customHeight="1">
      <c r="B38" s="19" t="s">
        <v>21</v>
      </c>
      <c r="C38" s="26"/>
      <c r="D38" s="24"/>
      <c r="E38" s="21"/>
      <c r="F38" s="21"/>
      <c r="G38" s="22">
        <v>156.36</v>
      </c>
      <c r="I38" s="13"/>
    </row>
    <row r="39" spans="2:9" s="5" customFormat="1" ht="19.5" customHeight="1">
      <c r="B39" s="27" t="s">
        <v>14</v>
      </c>
      <c r="C39" s="28"/>
      <c r="D39" s="29"/>
      <c r="E39" s="30">
        <f>SUM(E25:E38)</f>
        <v>80164.10532</v>
      </c>
      <c r="F39" s="30">
        <f>SUM(F25:F38)</f>
        <v>28748.208</v>
      </c>
      <c r="G39" s="31">
        <f>SUM(G25:G38)</f>
        <v>16189.181064</v>
      </c>
      <c r="I39" s="6"/>
    </row>
    <row r="40" spans="2:9" s="5" customFormat="1" ht="19.5" customHeight="1">
      <c r="B40" s="109" t="s">
        <v>15</v>
      </c>
      <c r="C40" s="110"/>
      <c r="D40" s="110"/>
      <c r="E40" s="110"/>
      <c r="F40" s="111"/>
      <c r="G40" s="32">
        <f>+E39+F39-G39</f>
        <v>92723.132256</v>
      </c>
      <c r="I40" s="6"/>
    </row>
    <row r="41" spans="2:9" s="45" customFormat="1" ht="19.5" customHeight="1">
      <c r="B41" s="43"/>
      <c r="C41" s="43"/>
      <c r="D41" s="43"/>
      <c r="E41" s="43"/>
      <c r="F41" s="43"/>
      <c r="G41" s="44"/>
      <c r="I41" s="10"/>
    </row>
    <row r="42" spans="2:9" s="45" customFormat="1" ht="19.5" customHeight="1" thickBot="1">
      <c r="B42" s="43"/>
      <c r="C42" s="43"/>
      <c r="D42" s="43"/>
      <c r="E42" s="43" t="s">
        <v>25</v>
      </c>
      <c r="F42" s="43"/>
      <c r="G42" s="44"/>
      <c r="I42" s="10"/>
    </row>
    <row r="43" spans="2:7" ht="13.5" thickBot="1">
      <c r="B43" s="50" t="s">
        <v>30</v>
      </c>
      <c r="C43" s="40"/>
      <c r="D43" s="48">
        <v>0.15</v>
      </c>
      <c r="E43" s="37"/>
      <c r="F43" s="37"/>
      <c r="G43" s="49"/>
    </row>
    <row r="44" spans="2:7" s="11" customFormat="1" ht="26.25" customHeight="1">
      <c r="B44" s="36" t="s">
        <v>7</v>
      </c>
      <c r="C44" s="36" t="s">
        <v>16</v>
      </c>
      <c r="D44" s="36" t="s">
        <v>17</v>
      </c>
      <c r="E44" s="36" t="s">
        <v>8</v>
      </c>
      <c r="F44" s="36" t="s">
        <v>18</v>
      </c>
      <c r="G44" s="36" t="s">
        <v>19</v>
      </c>
    </row>
    <row r="45" spans="2:9" s="5" customFormat="1" ht="19.5" customHeight="1">
      <c r="B45" s="14" t="s">
        <v>0</v>
      </c>
      <c r="C45" s="15">
        <v>30</v>
      </c>
      <c r="D45" s="16">
        <f>D25+(D5*D43)</f>
        <v>29562.3405</v>
      </c>
      <c r="E45" s="17">
        <f>(D45/30)*C45</f>
        <v>29562.3405</v>
      </c>
      <c r="F45" s="17"/>
      <c r="G45" s="18"/>
      <c r="I45" s="10"/>
    </row>
    <row r="46" spans="2:9" s="5" customFormat="1" ht="19.5" customHeight="1">
      <c r="B46" s="19" t="s">
        <v>1</v>
      </c>
      <c r="C46" s="20">
        <v>10000</v>
      </c>
      <c r="D46" s="34">
        <f>D26+(D6*D43)</f>
        <v>2.3650244999999996</v>
      </c>
      <c r="E46" s="21">
        <f>+C46*D46</f>
        <v>23650.244999999995</v>
      </c>
      <c r="F46" s="21"/>
      <c r="G46" s="22"/>
      <c r="I46" s="9"/>
    </row>
    <row r="47" spans="2:9" s="5" customFormat="1" ht="19.5" customHeight="1">
      <c r="B47" s="19" t="s">
        <v>2</v>
      </c>
      <c r="C47" s="20">
        <v>3000</v>
      </c>
      <c r="D47" s="34">
        <f>+D46*2</f>
        <v>4.730048999999999</v>
      </c>
      <c r="E47" s="21">
        <f>+C47*D47</f>
        <v>14190.146999999997</v>
      </c>
      <c r="F47" s="21"/>
      <c r="G47" s="22"/>
      <c r="H47" s="7"/>
      <c r="I47" s="9"/>
    </row>
    <row r="48" spans="2:9" s="5" customFormat="1" ht="19.5" customHeight="1">
      <c r="B48" s="19" t="s">
        <v>3</v>
      </c>
      <c r="C48" s="20">
        <v>8</v>
      </c>
      <c r="D48" s="23">
        <f>D28+(D8*D43)</f>
        <v>1231.7641875</v>
      </c>
      <c r="E48" s="21">
        <f>+C48*D48</f>
        <v>9854.1135</v>
      </c>
      <c r="F48" s="21"/>
      <c r="G48" s="22"/>
      <c r="H48" s="7"/>
      <c r="I48" s="9"/>
    </row>
    <row r="49" spans="2:9" s="5" customFormat="1" ht="19.5" customHeight="1">
      <c r="B49" s="19" t="s">
        <v>4</v>
      </c>
      <c r="C49" s="20">
        <v>7</v>
      </c>
      <c r="D49" s="23">
        <f>+D45/24</f>
        <v>1231.7641875</v>
      </c>
      <c r="E49" s="21">
        <f>+D49*C49</f>
        <v>8622.349312499999</v>
      </c>
      <c r="F49" s="21"/>
      <c r="G49" s="22"/>
      <c r="H49" s="7"/>
      <c r="I49" s="9"/>
    </row>
    <row r="50" spans="2:9" s="5" customFormat="1" ht="19.5" customHeight="1">
      <c r="B50" s="19" t="s">
        <v>6</v>
      </c>
      <c r="C50" s="20">
        <v>1</v>
      </c>
      <c r="D50" s="23">
        <f>D30+(D10*D43)</f>
        <v>836.784</v>
      </c>
      <c r="E50" s="21">
        <f>+D50*C50</f>
        <v>836.784</v>
      </c>
      <c r="F50" s="21"/>
      <c r="G50" s="22"/>
      <c r="I50" s="6"/>
    </row>
    <row r="51" spans="2:7" s="5" customFormat="1" ht="19.5" customHeight="1">
      <c r="B51" s="19" t="s">
        <v>9</v>
      </c>
      <c r="C51" s="20">
        <v>4</v>
      </c>
      <c r="D51" s="24"/>
      <c r="E51" s="21">
        <f>SUM(E45:E50)*0.01*C51</f>
        <v>3468.6391724999994</v>
      </c>
      <c r="F51" s="21"/>
      <c r="G51" s="22"/>
    </row>
    <row r="52" spans="2:7" s="5" customFormat="1" ht="19.5" customHeight="1">
      <c r="B52" s="19" t="s">
        <v>5</v>
      </c>
      <c r="C52" s="20">
        <f>+C50</f>
        <v>1</v>
      </c>
      <c r="D52" s="24">
        <f>D32+(D12*D43)</f>
        <v>1596.4154999999998</v>
      </c>
      <c r="E52" s="21"/>
      <c r="F52" s="21">
        <f>+D52*C52</f>
        <v>1596.4154999999998</v>
      </c>
      <c r="G52" s="22"/>
    </row>
    <row r="53" spans="2:9" s="5" customFormat="1" ht="19.5" customHeight="1">
      <c r="B53" s="19" t="s">
        <v>20</v>
      </c>
      <c r="C53" s="20">
        <f>+C46+C47</f>
        <v>13000</v>
      </c>
      <c r="D53" s="25">
        <f>+D46</f>
        <v>2.3650244999999996</v>
      </c>
      <c r="E53" s="21"/>
      <c r="F53" s="21">
        <f>+C53*D53</f>
        <v>30745.318499999994</v>
      </c>
      <c r="G53" s="22"/>
      <c r="I53" s="6"/>
    </row>
    <row r="54" spans="2:9" s="5" customFormat="1" ht="19.5" customHeight="1">
      <c r="B54" s="19" t="s">
        <v>10</v>
      </c>
      <c r="C54" s="26">
        <v>0.11</v>
      </c>
      <c r="D54" s="24"/>
      <c r="E54" s="21"/>
      <c r="F54" s="21"/>
      <c r="G54" s="22">
        <f>+E59*C54</f>
        <v>9920.308033349998</v>
      </c>
      <c r="I54" s="6"/>
    </row>
    <row r="55" spans="2:9" s="5" customFormat="1" ht="19.5" customHeight="1">
      <c r="B55" s="19" t="s">
        <v>11</v>
      </c>
      <c r="C55" s="26">
        <v>0.03</v>
      </c>
      <c r="D55" s="24"/>
      <c r="E55" s="21"/>
      <c r="F55" s="21"/>
      <c r="G55" s="22">
        <f>+E59*C55</f>
        <v>2705.5385545499994</v>
      </c>
      <c r="I55" s="8"/>
    </row>
    <row r="56" spans="2:9" s="5" customFormat="1" ht="19.5" customHeight="1">
      <c r="B56" s="19" t="s">
        <v>12</v>
      </c>
      <c r="C56" s="26">
        <v>0.03</v>
      </c>
      <c r="D56" s="24"/>
      <c r="E56" s="21"/>
      <c r="F56" s="21"/>
      <c r="G56" s="22">
        <f>+E59*C56</f>
        <v>2705.5385545499994</v>
      </c>
      <c r="I56" s="6"/>
    </row>
    <row r="57" spans="2:9" s="5" customFormat="1" ht="19.5" customHeight="1">
      <c r="B57" s="19" t="s">
        <v>13</v>
      </c>
      <c r="C57" s="26">
        <v>0.03</v>
      </c>
      <c r="D57" s="24"/>
      <c r="E57" s="21"/>
      <c r="F57" s="21"/>
      <c r="G57" s="22">
        <f>+E59*C57</f>
        <v>2705.5385545499994</v>
      </c>
      <c r="I57" s="6"/>
    </row>
    <row r="58" spans="2:9" s="12" customFormat="1" ht="19.5" customHeight="1">
      <c r="B58" s="19" t="s">
        <v>21</v>
      </c>
      <c r="C58" s="26"/>
      <c r="D58" s="24"/>
      <c r="E58" s="21"/>
      <c r="F58" s="21"/>
      <c r="G58" s="22">
        <v>156.36</v>
      </c>
      <c r="I58" s="13"/>
    </row>
    <row r="59" spans="2:9" s="5" customFormat="1" ht="19.5" customHeight="1">
      <c r="B59" s="27" t="s">
        <v>14</v>
      </c>
      <c r="C59" s="28"/>
      <c r="D59" s="29"/>
      <c r="E59" s="30">
        <f>SUM(E45:E58)</f>
        <v>90184.61848499998</v>
      </c>
      <c r="F59" s="30">
        <f>SUM(F45:F58)</f>
        <v>32341.733999999993</v>
      </c>
      <c r="G59" s="31">
        <f>SUM(G45:G58)</f>
        <v>18193.283697</v>
      </c>
      <c r="I59" s="6"/>
    </row>
    <row r="60" spans="2:9" s="5" customFormat="1" ht="19.5" customHeight="1">
      <c r="B60" s="109" t="s">
        <v>15</v>
      </c>
      <c r="C60" s="110"/>
      <c r="D60" s="110"/>
      <c r="E60" s="110"/>
      <c r="F60" s="111"/>
      <c r="G60" s="32">
        <f>+E59+F59-G59</f>
        <v>104333.06878799998</v>
      </c>
      <c r="I60" s="6"/>
    </row>
    <row r="62" spans="5:9" ht="12.75">
      <c r="E62" s="113" t="s">
        <v>28</v>
      </c>
      <c r="F62" s="113"/>
      <c r="G62" s="35">
        <f>+G60-G40</f>
        <v>11609.936531999978</v>
      </c>
      <c r="I62" s="46" t="s">
        <v>29</v>
      </c>
    </row>
    <row r="64" spans="2:9" ht="13.5" thickBot="1">
      <c r="B64" s="51"/>
      <c r="C64" s="51"/>
      <c r="D64" s="51" t="s">
        <v>24</v>
      </c>
      <c r="E64" s="44"/>
      <c r="F64" s="44"/>
      <c r="G64" s="44"/>
      <c r="H64" s="45"/>
      <c r="I64" s="47"/>
    </row>
    <row r="65" spans="2:7" ht="13.5" thickBot="1">
      <c r="B65" s="38" t="s">
        <v>22</v>
      </c>
      <c r="C65" s="39" t="s">
        <v>23</v>
      </c>
      <c r="D65" s="48">
        <v>0.1</v>
      </c>
      <c r="E65" s="37"/>
      <c r="F65" s="37"/>
      <c r="G65" s="49"/>
    </row>
    <row r="66" spans="2:8" ht="22.5">
      <c r="B66" s="36" t="s">
        <v>7</v>
      </c>
      <c r="C66" s="36" t="s">
        <v>16</v>
      </c>
      <c r="D66" s="36" t="s">
        <v>17</v>
      </c>
      <c r="E66" s="36" t="s">
        <v>8</v>
      </c>
      <c r="F66" s="36" t="s">
        <v>18</v>
      </c>
      <c r="G66" s="36" t="s">
        <v>19</v>
      </c>
      <c r="H66" s="11"/>
    </row>
    <row r="67" spans="2:8" ht="12.75">
      <c r="B67" s="14" t="s">
        <v>0</v>
      </c>
      <c r="C67" s="15">
        <v>30</v>
      </c>
      <c r="D67" s="16">
        <f>D25+(D5*D65)</f>
        <v>28467.439</v>
      </c>
      <c r="E67" s="17">
        <f>(D67/30)*C67</f>
        <v>28467.439</v>
      </c>
      <c r="F67" s="17"/>
      <c r="G67" s="18"/>
      <c r="H67" s="5"/>
    </row>
    <row r="68" spans="2:8" ht="12.75">
      <c r="B68" s="19" t="s">
        <v>1</v>
      </c>
      <c r="C68" s="20">
        <v>10000</v>
      </c>
      <c r="D68" s="34">
        <f>D26+(D6*D65)</f>
        <v>2.277431</v>
      </c>
      <c r="E68" s="21">
        <f>+C68*D68</f>
        <v>22774.31</v>
      </c>
      <c r="F68" s="21"/>
      <c r="G68" s="22"/>
      <c r="H68" s="5"/>
    </row>
    <row r="69" spans="2:8" ht="12.75">
      <c r="B69" s="19" t="s">
        <v>2</v>
      </c>
      <c r="C69" s="20">
        <v>3000</v>
      </c>
      <c r="D69" s="34">
        <f>+D68*2</f>
        <v>4.554862</v>
      </c>
      <c r="E69" s="21">
        <f>+C69*D69</f>
        <v>13664.586</v>
      </c>
      <c r="F69" s="21"/>
      <c r="G69" s="22"/>
      <c r="H69" s="7"/>
    </row>
    <row r="70" spans="2:8" ht="12.75">
      <c r="B70" s="19" t="s">
        <v>3</v>
      </c>
      <c r="C70" s="20">
        <v>8</v>
      </c>
      <c r="D70" s="23">
        <f>D28+(D8*D65)</f>
        <v>1186.1432916666665</v>
      </c>
      <c r="E70" s="21">
        <f>+C70*D70</f>
        <v>9489.146333333332</v>
      </c>
      <c r="F70" s="21"/>
      <c r="G70" s="22"/>
      <c r="H70" s="7"/>
    </row>
    <row r="71" spans="2:8" ht="12.75">
      <c r="B71" s="19" t="s">
        <v>4</v>
      </c>
      <c r="C71" s="20">
        <v>7</v>
      </c>
      <c r="D71" s="23">
        <f>+D67/24</f>
        <v>1186.1432916666665</v>
      </c>
      <c r="E71" s="21">
        <f>+D71*C71</f>
        <v>8303.003041666665</v>
      </c>
      <c r="F71" s="21"/>
      <c r="G71" s="22"/>
      <c r="H71" s="7"/>
    </row>
    <row r="72" spans="2:8" ht="12.75">
      <c r="B72" s="19" t="s">
        <v>6</v>
      </c>
      <c r="C72" s="20">
        <v>1</v>
      </c>
      <c r="D72" s="23">
        <f>D30+(D10*D65)</f>
        <v>805.792</v>
      </c>
      <c r="E72" s="21">
        <f>+D72*C72</f>
        <v>805.792</v>
      </c>
      <c r="F72" s="21"/>
      <c r="G72" s="22"/>
      <c r="H72" s="5"/>
    </row>
    <row r="73" spans="2:8" ht="12.75">
      <c r="B73" s="19" t="s">
        <v>9</v>
      </c>
      <c r="C73" s="20">
        <v>4</v>
      </c>
      <c r="D73" s="24"/>
      <c r="E73" s="21">
        <f>SUM(E67:E72)*0.01*C73</f>
        <v>3340.1710550000003</v>
      </c>
      <c r="F73" s="21"/>
      <c r="G73" s="22"/>
      <c r="H73" s="5"/>
    </row>
    <row r="74" spans="2:8" ht="12.75">
      <c r="B74" s="19" t="s">
        <v>5</v>
      </c>
      <c r="C74" s="20">
        <f>+C72</f>
        <v>1</v>
      </c>
      <c r="D74" s="24">
        <f>D32+(D12*D65)</f>
        <v>1537.2889999999998</v>
      </c>
      <c r="E74" s="21"/>
      <c r="F74" s="21">
        <f>+D74*C74</f>
        <v>1537.2889999999998</v>
      </c>
      <c r="G74" s="22"/>
      <c r="H74" s="5"/>
    </row>
    <row r="75" spans="2:8" ht="12.75">
      <c r="B75" s="19" t="s">
        <v>20</v>
      </c>
      <c r="C75" s="20">
        <f>+C68+C69</f>
        <v>13000</v>
      </c>
      <c r="D75" s="25">
        <f>+D68</f>
        <v>2.277431</v>
      </c>
      <c r="E75" s="21"/>
      <c r="F75" s="21">
        <f>+C75*D75</f>
        <v>29606.603</v>
      </c>
      <c r="G75" s="22"/>
      <c r="H75" s="5"/>
    </row>
    <row r="76" spans="2:8" ht="12.75">
      <c r="B76" s="19" t="s">
        <v>10</v>
      </c>
      <c r="C76" s="26">
        <v>0.11</v>
      </c>
      <c r="D76" s="24"/>
      <c r="E76" s="21"/>
      <c r="F76" s="21"/>
      <c r="G76" s="22">
        <f>+E81*C76</f>
        <v>9552.8892173</v>
      </c>
      <c r="H76" s="5"/>
    </row>
    <row r="77" spans="2:8" ht="12.75">
      <c r="B77" s="19" t="s">
        <v>11</v>
      </c>
      <c r="C77" s="26">
        <v>0.03</v>
      </c>
      <c r="D77" s="24"/>
      <c r="E77" s="21"/>
      <c r="F77" s="21"/>
      <c r="G77" s="22">
        <f>+E81*C77</f>
        <v>2605.3334228999997</v>
      </c>
      <c r="H77" s="5"/>
    </row>
    <row r="78" spans="2:8" ht="12.75">
      <c r="B78" s="19" t="s">
        <v>12</v>
      </c>
      <c r="C78" s="26">
        <v>0.03</v>
      </c>
      <c r="D78" s="24"/>
      <c r="E78" s="21"/>
      <c r="F78" s="21"/>
      <c r="G78" s="22">
        <f>+E81*C78</f>
        <v>2605.3334228999997</v>
      </c>
      <c r="H78" s="5"/>
    </row>
    <row r="79" spans="2:8" ht="12.75">
      <c r="B79" s="19" t="s">
        <v>13</v>
      </c>
      <c r="C79" s="26">
        <v>0.03</v>
      </c>
      <c r="D79" s="24"/>
      <c r="E79" s="21"/>
      <c r="F79" s="21"/>
      <c r="G79" s="22">
        <f>+E81*C79</f>
        <v>2605.3334228999997</v>
      </c>
      <c r="H79" s="5"/>
    </row>
    <row r="80" spans="2:8" ht="12.75">
      <c r="B80" s="19" t="s">
        <v>21</v>
      </c>
      <c r="C80" s="26"/>
      <c r="D80" s="24"/>
      <c r="E80" s="21"/>
      <c r="F80" s="21"/>
      <c r="G80" s="22">
        <v>156.36</v>
      </c>
      <c r="H80" s="12"/>
    </row>
    <row r="81" spans="2:8" ht="12.75">
      <c r="B81" s="27" t="s">
        <v>14</v>
      </c>
      <c r="C81" s="28"/>
      <c r="D81" s="29"/>
      <c r="E81" s="30">
        <f>SUM(E67:E80)</f>
        <v>86844.44743</v>
      </c>
      <c r="F81" s="30">
        <f>SUM(F67:F80)</f>
        <v>31143.892</v>
      </c>
      <c r="G81" s="31">
        <f>SUM(G67:G80)</f>
        <v>17525.249486</v>
      </c>
      <c r="H81" s="5"/>
    </row>
    <row r="82" spans="2:8" ht="12.75">
      <c r="B82" s="109" t="s">
        <v>15</v>
      </c>
      <c r="C82" s="110"/>
      <c r="D82" s="110"/>
      <c r="E82" s="110"/>
      <c r="F82" s="111"/>
      <c r="G82" s="32">
        <f>+E81+F81-G81</f>
        <v>100463.08994399999</v>
      </c>
      <c r="H82" s="5"/>
    </row>
    <row r="84" spans="5:9" ht="12.75">
      <c r="E84" s="113" t="s">
        <v>28</v>
      </c>
      <c r="F84" s="113"/>
      <c r="G84" s="35">
        <f>+G82-G40</f>
        <v>7739.957687999995</v>
      </c>
      <c r="I84" s="46" t="s">
        <v>29</v>
      </c>
    </row>
  </sheetData>
  <sheetProtection/>
  <mergeCells count="8">
    <mergeCell ref="B82:F82"/>
    <mergeCell ref="B2:G2"/>
    <mergeCell ref="B22:G22"/>
    <mergeCell ref="E84:F84"/>
    <mergeCell ref="E62:F62"/>
    <mergeCell ref="B20:F20"/>
    <mergeCell ref="B40:F40"/>
    <mergeCell ref="B60:F60"/>
  </mergeCells>
  <printOptions/>
  <pageMargins left="0.7" right="0.7" top="0.75" bottom="0.75" header="0.3" footer="0.3"/>
  <pageSetup horizontalDpi="600" verticalDpi="600" orientation="portrait" paperSize="9" r:id="rId1"/>
  <ignoredErrors>
    <ignoredError sqref="E9 D27 D47 D29 D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T66"/>
  <sheetViews>
    <sheetView tabSelected="1" zoomScale="115" zoomScaleNormal="115" zoomScalePageLayoutView="80" workbookViewId="0" topLeftCell="A46">
      <selection activeCell="K60" sqref="K60:L60"/>
    </sheetView>
  </sheetViews>
  <sheetFormatPr defaultColWidth="11.421875" defaultRowHeight="15"/>
  <cols>
    <col min="1" max="1" width="0.85546875" style="67" customWidth="1"/>
    <col min="2" max="2" width="2.140625" style="67" customWidth="1"/>
    <col min="3" max="3" width="27.00390625" style="67" bestFit="1" customWidth="1"/>
    <col min="4" max="4" width="11.421875" style="67" customWidth="1"/>
    <col min="5" max="5" width="11.8515625" style="67" bestFit="1" customWidth="1"/>
    <col min="6" max="6" width="12.140625" style="67" customWidth="1"/>
    <col min="7" max="7" width="12.00390625" style="67" customWidth="1"/>
    <col min="8" max="8" width="12.57421875" style="67" bestFit="1" customWidth="1"/>
    <col min="9" max="10" width="2.140625" style="67" customWidth="1"/>
    <col min="11" max="11" width="7.8515625" style="67" bestFit="1" customWidth="1"/>
    <col min="12" max="17" width="7.00390625" style="67" bestFit="1" customWidth="1"/>
    <col min="18" max="18" width="12.57421875" style="67" bestFit="1" customWidth="1"/>
    <col min="19" max="19" width="1.8515625" style="67" customWidth="1"/>
    <col min="20" max="16384" width="11.421875" style="67" customWidth="1"/>
  </cols>
  <sheetData>
    <row r="1" spans="2:19" ht="7.5" customHeight="1" thickBot="1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2:20" ht="8.25" customHeight="1" thickTop="1">
      <c r="B2" s="84"/>
      <c r="J2" s="84"/>
      <c r="T2" s="84"/>
    </row>
    <row r="3" spans="2:20" s="59" customFormat="1" ht="12" customHeight="1">
      <c r="B3" s="85"/>
      <c r="C3" s="65" t="s">
        <v>7</v>
      </c>
      <c r="D3" s="65" t="s">
        <v>16</v>
      </c>
      <c r="E3" s="65" t="s">
        <v>17</v>
      </c>
      <c r="F3" s="65" t="s">
        <v>8</v>
      </c>
      <c r="G3" s="65" t="s">
        <v>18</v>
      </c>
      <c r="H3" s="65" t="s">
        <v>19</v>
      </c>
      <c r="J3" s="85"/>
      <c r="K3" s="117" t="s">
        <v>46</v>
      </c>
      <c r="L3" s="118"/>
      <c r="M3" s="118"/>
      <c r="N3" s="118"/>
      <c r="O3" s="118"/>
      <c r="P3" s="119"/>
      <c r="T3" s="85"/>
    </row>
    <row r="4" spans="2:20" s="45" customFormat="1" ht="12" customHeight="1">
      <c r="B4" s="86"/>
      <c r="C4" s="14" t="s">
        <v>0</v>
      </c>
      <c r="D4" s="15">
        <v>30</v>
      </c>
      <c r="E4" s="16">
        <f>+'Chofer C Peligrosas'!D5</f>
        <v>21898.03</v>
      </c>
      <c r="F4" s="52">
        <f>(E4/30)*D4</f>
        <v>21898.03</v>
      </c>
      <c r="G4" s="17"/>
      <c r="H4" s="18"/>
      <c r="J4" s="86"/>
      <c r="K4" s="124" t="s">
        <v>39</v>
      </c>
      <c r="L4" s="124"/>
      <c r="M4" s="124"/>
      <c r="N4" s="124"/>
      <c r="O4" s="124"/>
      <c r="P4" s="124"/>
      <c r="Q4" s="59"/>
      <c r="R4" s="59"/>
      <c r="T4" s="86"/>
    </row>
    <row r="5" spans="2:20" s="45" customFormat="1" ht="12" customHeight="1">
      <c r="B5" s="86"/>
      <c r="C5" s="19" t="s">
        <v>1</v>
      </c>
      <c r="D5" s="20">
        <v>10000</v>
      </c>
      <c r="E5" s="34">
        <f>+'Chofer C Peligrosas'!D6</f>
        <v>1.75187</v>
      </c>
      <c r="F5" s="53">
        <f>+D5*E5</f>
        <v>17518.7</v>
      </c>
      <c r="G5" s="21"/>
      <c r="H5" s="22"/>
      <c r="J5" s="86"/>
      <c r="K5" s="80" t="s">
        <v>32</v>
      </c>
      <c r="L5" s="80" t="s">
        <v>33</v>
      </c>
      <c r="M5" s="80" t="s">
        <v>34</v>
      </c>
      <c r="N5" s="80" t="s">
        <v>35</v>
      </c>
      <c r="O5" s="80" t="s">
        <v>36</v>
      </c>
      <c r="P5" s="80" t="s">
        <v>37</v>
      </c>
      <c r="Q5" s="80" t="s">
        <v>38</v>
      </c>
      <c r="T5" s="86"/>
    </row>
    <row r="6" spans="2:20" s="45" customFormat="1" ht="12" customHeight="1">
      <c r="B6" s="86"/>
      <c r="C6" s="19" t="s">
        <v>2</v>
      </c>
      <c r="D6" s="20">
        <v>3000</v>
      </c>
      <c r="E6" s="34">
        <f>+E5*2</f>
        <v>3.50374</v>
      </c>
      <c r="F6" s="53">
        <f>+D6*E6</f>
        <v>10511.22</v>
      </c>
      <c r="G6" s="21"/>
      <c r="H6" s="22"/>
      <c r="I6" s="60"/>
      <c r="J6" s="89"/>
      <c r="K6" s="68">
        <v>0.1235</v>
      </c>
      <c r="L6" s="69">
        <v>0.0157</v>
      </c>
      <c r="M6" s="69">
        <v>0.0108</v>
      </c>
      <c r="N6" s="69">
        <v>0.054</v>
      </c>
      <c r="O6" s="70">
        <v>0.06</v>
      </c>
      <c r="P6" s="70">
        <v>0.02</v>
      </c>
      <c r="Q6" s="68">
        <v>0.015</v>
      </c>
      <c r="R6" s="81" t="s">
        <v>40</v>
      </c>
      <c r="T6" s="86"/>
    </row>
    <row r="7" spans="2:20" s="45" customFormat="1" ht="12" customHeight="1">
      <c r="B7" s="86"/>
      <c r="C7" s="19" t="s">
        <v>3</v>
      </c>
      <c r="D7" s="20">
        <v>8</v>
      </c>
      <c r="E7" s="23">
        <f>+'Chofer C Peligrosas'!D8</f>
        <v>912.4179166666667</v>
      </c>
      <c r="F7" s="53">
        <f>+D7*E7</f>
        <v>7299.343333333333</v>
      </c>
      <c r="G7" s="21"/>
      <c r="H7" s="22"/>
      <c r="I7" s="60"/>
      <c r="J7" s="89"/>
      <c r="K7" s="72">
        <f>(F18-7003.68)*K6</f>
        <v>6564.931325333332</v>
      </c>
      <c r="L7" s="73">
        <f>(F18-7003.68)*L6</f>
        <v>834.5702170666664</v>
      </c>
      <c r="M7" s="73">
        <f>(F18-7003.68)*M6</f>
        <v>574.0992575999999</v>
      </c>
      <c r="N7" s="73">
        <f>(F18-7003.68)*N6</f>
        <v>2870.4962879999994</v>
      </c>
      <c r="O7" s="73">
        <f>+F18*O6</f>
        <v>3609.6611199999993</v>
      </c>
      <c r="P7" s="73">
        <f>+F18*P6</f>
        <v>1203.220373333333</v>
      </c>
      <c r="Q7" s="73">
        <f>+F18*Q6</f>
        <v>902.4152799999998</v>
      </c>
      <c r="R7" s="74">
        <f>SUM(K7:Q7)</f>
        <v>16559.39386133333</v>
      </c>
      <c r="T7" s="86"/>
    </row>
    <row r="8" spans="2:20" s="45" customFormat="1" ht="12" customHeight="1">
      <c r="B8" s="86"/>
      <c r="C8" s="19" t="s">
        <v>4</v>
      </c>
      <c r="D8" s="20">
        <v>0</v>
      </c>
      <c r="E8" s="23">
        <f>+E4/24</f>
        <v>912.4179166666667</v>
      </c>
      <c r="F8" s="53">
        <f>+E8*D8</f>
        <v>0</v>
      </c>
      <c r="G8" s="21"/>
      <c r="H8" s="22"/>
      <c r="I8" s="60"/>
      <c r="J8" s="89"/>
      <c r="K8" s="9"/>
      <c r="T8" s="86"/>
    </row>
    <row r="9" spans="2:20" s="45" customFormat="1" ht="12" customHeight="1">
      <c r="B9" s="86"/>
      <c r="C9" s="19" t="s">
        <v>6</v>
      </c>
      <c r="D9" s="20">
        <v>1</v>
      </c>
      <c r="E9" s="23">
        <f>+'Chofer C Peligrosas'!D10</f>
        <v>619.84</v>
      </c>
      <c r="F9" s="53">
        <f>+E9*D9</f>
        <v>619.84</v>
      </c>
      <c r="G9" s="21"/>
      <c r="H9" s="22"/>
      <c r="J9" s="86"/>
      <c r="K9" s="9"/>
      <c r="P9" s="81" t="s">
        <v>41</v>
      </c>
      <c r="Q9" s="82"/>
      <c r="R9" s="71">
        <f>+F18+G18+R7</f>
        <v>100677.25252799998</v>
      </c>
      <c r="T9" s="86"/>
    </row>
    <row r="10" spans="2:20" s="45" customFormat="1" ht="12" customHeight="1">
      <c r="B10" s="86"/>
      <c r="C10" s="19" t="s">
        <v>9</v>
      </c>
      <c r="D10" s="20">
        <v>4</v>
      </c>
      <c r="E10" s="24"/>
      <c r="F10" s="53">
        <f>SUM(F4:F9)*0.01*D10</f>
        <v>2313.885333333333</v>
      </c>
      <c r="G10" s="21"/>
      <c r="H10" s="22"/>
      <c r="J10" s="86"/>
      <c r="S10" s="97"/>
      <c r="T10" s="86"/>
    </row>
    <row r="11" spans="2:20" s="45" customFormat="1" ht="12" customHeight="1">
      <c r="B11" s="86"/>
      <c r="C11" s="19" t="s">
        <v>5</v>
      </c>
      <c r="D11" s="20">
        <f>+D9</f>
        <v>1</v>
      </c>
      <c r="E11" s="23">
        <f>+'Chofer C Peligrosas'!D12</f>
        <v>1182.53</v>
      </c>
      <c r="F11" s="21"/>
      <c r="G11" s="53">
        <f>+E11*D11</f>
        <v>1182.53</v>
      </c>
      <c r="H11" s="22"/>
      <c r="J11" s="86"/>
      <c r="S11" s="97"/>
      <c r="T11" s="86"/>
    </row>
    <row r="12" spans="2:20" s="45" customFormat="1" ht="12" customHeight="1">
      <c r="B12" s="86"/>
      <c r="C12" s="19" t="s">
        <v>20</v>
      </c>
      <c r="D12" s="20">
        <f>+D5+D6</f>
        <v>13000</v>
      </c>
      <c r="E12" s="66">
        <f>+E5</f>
        <v>1.75187</v>
      </c>
      <c r="F12" s="21"/>
      <c r="G12" s="53">
        <f>+D12*E12</f>
        <v>22774.31</v>
      </c>
      <c r="H12" s="22"/>
      <c r="J12" s="86"/>
      <c r="K12" s="120"/>
      <c r="L12" s="120"/>
      <c r="M12" s="120"/>
      <c r="N12" s="120"/>
      <c r="O12" s="120"/>
      <c r="P12" s="120"/>
      <c r="Q12" s="59"/>
      <c r="R12" s="59"/>
      <c r="T12" s="86"/>
    </row>
    <row r="13" spans="2:20" s="45" customFormat="1" ht="12" customHeight="1">
      <c r="B13" s="86"/>
      <c r="C13" s="19" t="s">
        <v>10</v>
      </c>
      <c r="D13" s="26">
        <v>0.11</v>
      </c>
      <c r="E13" s="24"/>
      <c r="F13" s="21"/>
      <c r="G13" s="21"/>
      <c r="H13" s="22">
        <f>+F18*D13</f>
        <v>6617.712053333332</v>
      </c>
      <c r="J13" s="86"/>
      <c r="K13" s="120"/>
      <c r="L13" s="120"/>
      <c r="M13" s="120"/>
      <c r="N13" s="120"/>
      <c r="O13" s="120"/>
      <c r="P13" s="120"/>
      <c r="Q13" s="59"/>
      <c r="R13" s="59"/>
      <c r="T13" s="86"/>
    </row>
    <row r="14" spans="2:20" s="45" customFormat="1" ht="12" customHeight="1">
      <c r="B14" s="86"/>
      <c r="C14" s="19" t="s">
        <v>11</v>
      </c>
      <c r="D14" s="26">
        <v>0.03</v>
      </c>
      <c r="E14" s="24"/>
      <c r="F14" s="21"/>
      <c r="G14" s="21"/>
      <c r="H14" s="22">
        <f>+F18*D14</f>
        <v>1804.8305599999997</v>
      </c>
      <c r="J14" s="86"/>
      <c r="K14" s="59"/>
      <c r="L14" s="59"/>
      <c r="M14" s="59"/>
      <c r="N14" s="59"/>
      <c r="O14" s="59"/>
      <c r="P14" s="59"/>
      <c r="Q14" s="59"/>
      <c r="T14" s="86"/>
    </row>
    <row r="15" spans="2:20" s="45" customFormat="1" ht="12" customHeight="1">
      <c r="B15" s="86"/>
      <c r="C15" s="19" t="s">
        <v>12</v>
      </c>
      <c r="D15" s="26">
        <v>0.03</v>
      </c>
      <c r="E15" s="24"/>
      <c r="F15" s="21"/>
      <c r="G15" s="21"/>
      <c r="H15" s="22">
        <f>+F18*D15</f>
        <v>1804.8305599999997</v>
      </c>
      <c r="J15" s="86"/>
      <c r="K15" s="101"/>
      <c r="L15" s="102"/>
      <c r="M15" s="102"/>
      <c r="N15" s="102"/>
      <c r="O15" s="103"/>
      <c r="P15" s="103"/>
      <c r="Q15" s="101"/>
      <c r="R15" s="81"/>
      <c r="T15" s="86"/>
    </row>
    <row r="16" spans="2:20" s="45" customFormat="1" ht="12" customHeight="1">
      <c r="B16" s="86"/>
      <c r="C16" s="19" t="s">
        <v>13</v>
      </c>
      <c r="D16" s="26">
        <v>0.03</v>
      </c>
      <c r="E16" s="24"/>
      <c r="F16" s="21"/>
      <c r="G16" s="21"/>
      <c r="H16" s="22">
        <f>+F18*D16</f>
        <v>1804.8305599999997</v>
      </c>
      <c r="J16" s="86"/>
      <c r="K16" s="104"/>
      <c r="L16" s="105"/>
      <c r="M16" s="105"/>
      <c r="N16" s="105"/>
      <c r="O16" s="105"/>
      <c r="P16" s="105"/>
      <c r="Q16" s="105"/>
      <c r="R16" s="106"/>
      <c r="T16" s="90"/>
    </row>
    <row r="17" spans="2:20" s="62" customFormat="1" ht="12" customHeight="1">
      <c r="B17" s="87"/>
      <c r="C17" s="19" t="s">
        <v>21</v>
      </c>
      <c r="D17" s="26"/>
      <c r="E17" s="24"/>
      <c r="F17" s="21"/>
      <c r="G17" s="21"/>
      <c r="H17" s="22">
        <v>156.36</v>
      </c>
      <c r="J17" s="87"/>
      <c r="K17" s="9"/>
      <c r="L17" s="45"/>
      <c r="M17" s="45"/>
      <c r="N17" s="45"/>
      <c r="O17" s="45"/>
      <c r="P17" s="45"/>
      <c r="Q17" s="45"/>
      <c r="R17" s="45"/>
      <c r="T17" s="87"/>
    </row>
    <row r="18" spans="2:20" s="45" customFormat="1" ht="12" customHeight="1">
      <c r="B18" s="86"/>
      <c r="C18" s="54" t="s">
        <v>14</v>
      </c>
      <c r="D18" s="55"/>
      <c r="E18" s="56"/>
      <c r="F18" s="57">
        <f>SUM(F4:F17)</f>
        <v>60161.018666666656</v>
      </c>
      <c r="G18" s="57">
        <f>SUM(G4:G17)</f>
        <v>23956.84</v>
      </c>
      <c r="H18" s="58">
        <f>SUM(H4:H17)</f>
        <v>12188.563733333332</v>
      </c>
      <c r="J18" s="86"/>
      <c r="K18" s="9"/>
      <c r="P18" s="81"/>
      <c r="Q18" s="81"/>
      <c r="R18" s="78"/>
      <c r="T18" s="90"/>
    </row>
    <row r="19" spans="2:20" s="45" customFormat="1" ht="12" customHeight="1">
      <c r="B19" s="86"/>
      <c r="C19" s="121" t="s">
        <v>15</v>
      </c>
      <c r="D19" s="122"/>
      <c r="E19" s="122"/>
      <c r="F19" s="122"/>
      <c r="G19" s="123"/>
      <c r="H19" s="64">
        <f>+F18+G18-H18</f>
        <v>71929.29493333332</v>
      </c>
      <c r="J19" s="86"/>
      <c r="K19" s="10"/>
      <c r="T19" s="86"/>
    </row>
    <row r="20" spans="2:20" ht="9" customHeight="1" thickBot="1">
      <c r="B20" s="88"/>
      <c r="C20" s="83"/>
      <c r="D20" s="83"/>
      <c r="E20" s="83"/>
      <c r="F20" s="83"/>
      <c r="G20" s="83"/>
      <c r="H20" s="83"/>
      <c r="I20" s="83"/>
      <c r="J20" s="88"/>
      <c r="K20" s="83"/>
      <c r="L20" s="83"/>
      <c r="M20" s="83"/>
      <c r="N20" s="83"/>
      <c r="O20" s="83"/>
      <c r="P20" s="83"/>
      <c r="Q20" s="83"/>
      <c r="R20" s="83"/>
      <c r="S20" s="83"/>
      <c r="T20" s="84"/>
    </row>
    <row r="21" spans="2:19" ht="15.75" thickTop="1">
      <c r="B21" s="91"/>
      <c r="C21" s="107" t="s">
        <v>42</v>
      </c>
      <c r="D21" s="92"/>
      <c r="E21" s="92"/>
      <c r="F21" s="92"/>
      <c r="G21" s="92"/>
      <c r="H21" s="92"/>
      <c r="I21" s="93"/>
      <c r="J21" s="91"/>
      <c r="K21" s="92"/>
      <c r="L21" s="92"/>
      <c r="M21" s="92"/>
      <c r="N21" s="92"/>
      <c r="O21" s="92"/>
      <c r="P21" s="92"/>
      <c r="Q21" s="92"/>
      <c r="R21" s="92"/>
      <c r="S21" s="93"/>
    </row>
    <row r="22" spans="2:19" ht="14.25">
      <c r="B22" s="84"/>
      <c r="C22" s="94"/>
      <c r="D22" s="94"/>
      <c r="E22" s="75">
        <v>0.2</v>
      </c>
      <c r="F22" s="94"/>
      <c r="G22" s="94"/>
      <c r="H22" s="94"/>
      <c r="I22" s="95"/>
      <c r="J22" s="84"/>
      <c r="K22" s="94"/>
      <c r="L22" s="94"/>
      <c r="M22" s="94"/>
      <c r="N22" s="94"/>
      <c r="O22" s="94"/>
      <c r="P22" s="94"/>
      <c r="Q22" s="94"/>
      <c r="R22" s="94"/>
      <c r="S22" s="95"/>
    </row>
    <row r="23" spans="2:19" s="59" customFormat="1" ht="12" customHeight="1">
      <c r="B23" s="85"/>
      <c r="C23" s="65" t="s">
        <v>7</v>
      </c>
      <c r="D23" s="65" t="s">
        <v>16</v>
      </c>
      <c r="E23" s="65" t="s">
        <v>17</v>
      </c>
      <c r="F23" s="65" t="s">
        <v>8</v>
      </c>
      <c r="G23" s="65" t="s">
        <v>18</v>
      </c>
      <c r="H23" s="65" t="s">
        <v>19</v>
      </c>
      <c r="I23" s="96"/>
      <c r="J23" s="85"/>
      <c r="K23" s="117" t="s">
        <v>46</v>
      </c>
      <c r="L23" s="118"/>
      <c r="M23" s="118"/>
      <c r="N23" s="118"/>
      <c r="O23" s="118"/>
      <c r="P23" s="119"/>
      <c r="S23" s="96"/>
    </row>
    <row r="24" spans="2:19" s="45" customFormat="1" ht="12" customHeight="1">
      <c r="B24" s="86"/>
      <c r="C24" s="14" t="s">
        <v>0</v>
      </c>
      <c r="D24" s="15">
        <v>30</v>
      </c>
      <c r="E24" s="16">
        <f>E4+(E4*E22)</f>
        <v>26277.636</v>
      </c>
      <c r="F24" s="52">
        <f>(E24/30)*D24</f>
        <v>26277.636</v>
      </c>
      <c r="G24" s="17"/>
      <c r="H24" s="18"/>
      <c r="I24" s="97"/>
      <c r="J24" s="86"/>
      <c r="K24" s="125" t="s">
        <v>39</v>
      </c>
      <c r="L24" s="125"/>
      <c r="M24" s="125"/>
      <c r="N24" s="125"/>
      <c r="O24" s="125"/>
      <c r="P24" s="125"/>
      <c r="Q24" s="59"/>
      <c r="R24" s="59"/>
      <c r="S24" s="97"/>
    </row>
    <row r="25" spans="2:19" s="45" customFormat="1" ht="12" customHeight="1">
      <c r="B25" s="86"/>
      <c r="C25" s="19" t="s">
        <v>1</v>
      </c>
      <c r="D25" s="20">
        <v>10000</v>
      </c>
      <c r="E25" s="34">
        <f>E5+(E5*E22)</f>
        <v>2.1022440000000002</v>
      </c>
      <c r="F25" s="53">
        <f>+D25*E25</f>
        <v>21022.440000000002</v>
      </c>
      <c r="G25" s="21"/>
      <c r="H25" s="22"/>
      <c r="I25" s="97"/>
      <c r="J25" s="86"/>
      <c r="K25" s="80" t="s">
        <v>32</v>
      </c>
      <c r="L25" s="80" t="s">
        <v>33</v>
      </c>
      <c r="M25" s="80" t="s">
        <v>34</v>
      </c>
      <c r="N25" s="80" t="s">
        <v>35</v>
      </c>
      <c r="O25" s="80" t="s">
        <v>36</v>
      </c>
      <c r="P25" s="80" t="s">
        <v>37</v>
      </c>
      <c r="Q25" s="80" t="s">
        <v>38</v>
      </c>
      <c r="S25" s="97"/>
    </row>
    <row r="26" spans="2:19" s="45" customFormat="1" ht="12" customHeight="1">
      <c r="B26" s="86"/>
      <c r="C26" s="19" t="s">
        <v>2</v>
      </c>
      <c r="D26" s="20">
        <v>3000</v>
      </c>
      <c r="E26" s="34">
        <f>+E25*2</f>
        <v>4.2044880000000004</v>
      </c>
      <c r="F26" s="53">
        <f>+D26*E26</f>
        <v>12613.464000000002</v>
      </c>
      <c r="G26" s="21"/>
      <c r="H26" s="22"/>
      <c r="I26" s="98"/>
      <c r="J26" s="89"/>
      <c r="K26" s="68">
        <v>0.1235</v>
      </c>
      <c r="L26" s="69">
        <v>0.0157</v>
      </c>
      <c r="M26" s="69">
        <v>0.0108</v>
      </c>
      <c r="N26" s="69">
        <v>0.054</v>
      </c>
      <c r="O26" s="70">
        <v>0.06</v>
      </c>
      <c r="P26" s="70">
        <v>0.02</v>
      </c>
      <c r="Q26" s="68">
        <v>0.015</v>
      </c>
      <c r="R26" s="81" t="s">
        <v>40</v>
      </c>
      <c r="S26" s="97"/>
    </row>
    <row r="27" spans="2:19" s="45" customFormat="1" ht="12" customHeight="1">
      <c r="B27" s="86"/>
      <c r="C27" s="19" t="s">
        <v>3</v>
      </c>
      <c r="D27" s="20">
        <v>8</v>
      </c>
      <c r="E27" s="23">
        <f>E7+(E7*E22)</f>
        <v>1094.9015</v>
      </c>
      <c r="F27" s="53">
        <f>+D27*E27</f>
        <v>8759.212</v>
      </c>
      <c r="G27" s="21"/>
      <c r="H27" s="22"/>
      <c r="I27" s="98"/>
      <c r="J27" s="89"/>
      <c r="K27" s="72">
        <f>(F38-7003.68)*K26</f>
        <v>8050.9084864000015</v>
      </c>
      <c r="L27" s="73">
        <f>(F38-7003.68)*L26</f>
        <v>1023.4758156800001</v>
      </c>
      <c r="M27" s="73">
        <f>(F38-7003.68)*M26</f>
        <v>704.0470579200002</v>
      </c>
      <c r="N27" s="73">
        <f>(F38-7003.68)*N26</f>
        <v>3520.2352896000007</v>
      </c>
      <c r="O27" s="73">
        <f>+F38*O26</f>
        <v>4331.593344000001</v>
      </c>
      <c r="P27" s="73">
        <f>+F38*P26</f>
        <v>1443.8644480000003</v>
      </c>
      <c r="Q27" s="73">
        <f>+F38*Q26</f>
        <v>1082.8983360000002</v>
      </c>
      <c r="R27" s="74">
        <f>SUM(K27:Q27)</f>
        <v>20157.022777600003</v>
      </c>
      <c r="S27" s="97"/>
    </row>
    <row r="28" spans="2:19" s="45" customFormat="1" ht="12" customHeight="1">
      <c r="B28" s="86"/>
      <c r="C28" s="19" t="s">
        <v>4</v>
      </c>
      <c r="D28" s="20">
        <v>0</v>
      </c>
      <c r="E28" s="23">
        <f>+E24/24</f>
        <v>1094.9015</v>
      </c>
      <c r="F28" s="53">
        <f>+E28*D28</f>
        <v>0</v>
      </c>
      <c r="G28" s="21"/>
      <c r="H28" s="22"/>
      <c r="I28" s="98"/>
      <c r="J28" s="89"/>
      <c r="K28" s="9"/>
      <c r="S28" s="97"/>
    </row>
    <row r="29" spans="2:19" s="45" customFormat="1" ht="12" customHeight="1">
      <c r="B29" s="86"/>
      <c r="C29" s="19" t="s">
        <v>6</v>
      </c>
      <c r="D29" s="20">
        <v>1</v>
      </c>
      <c r="E29" s="23">
        <f>E9+(E9*E22)</f>
        <v>743.808</v>
      </c>
      <c r="F29" s="53">
        <f>+E29*D29</f>
        <v>743.808</v>
      </c>
      <c r="G29" s="21"/>
      <c r="H29" s="22"/>
      <c r="I29" s="97"/>
      <c r="J29" s="86"/>
      <c r="K29" s="9"/>
      <c r="P29" s="81" t="s">
        <v>41</v>
      </c>
      <c r="Q29" s="82"/>
      <c r="R29" s="71">
        <f>+F38+G38+R27</f>
        <v>121098.45317760002</v>
      </c>
      <c r="S29" s="97"/>
    </row>
    <row r="30" spans="2:19" s="45" customFormat="1" ht="12" customHeight="1">
      <c r="B30" s="86"/>
      <c r="C30" s="19" t="s">
        <v>9</v>
      </c>
      <c r="D30" s="20">
        <v>4</v>
      </c>
      <c r="E30" s="24"/>
      <c r="F30" s="53">
        <f>SUM(F24:F29)*0.01*D30</f>
        <v>2776.6624000000006</v>
      </c>
      <c r="G30" s="21"/>
      <c r="H30" s="22"/>
      <c r="I30" s="97"/>
      <c r="J30" s="86"/>
      <c r="K30" s="10"/>
      <c r="S30" s="97"/>
    </row>
    <row r="31" spans="2:19" s="45" customFormat="1" ht="12" customHeight="1">
      <c r="B31" s="86"/>
      <c r="C31" s="19" t="s">
        <v>5</v>
      </c>
      <c r="D31" s="20">
        <f>+D29</f>
        <v>1</v>
      </c>
      <c r="E31" s="23">
        <f>+E11+(E11*E22)</f>
        <v>1419.036</v>
      </c>
      <c r="F31" s="21"/>
      <c r="G31" s="53">
        <f>+E31*D31</f>
        <v>1419.036</v>
      </c>
      <c r="H31" s="22"/>
      <c r="I31" s="97"/>
      <c r="J31" s="86"/>
      <c r="P31" s="81" t="s">
        <v>31</v>
      </c>
      <c r="Q31" s="82"/>
      <c r="R31" s="71">
        <f>+R29-R9</f>
        <v>20421.20064960004</v>
      </c>
      <c r="S31" s="97"/>
    </row>
    <row r="32" spans="2:19" s="45" customFormat="1" ht="12" customHeight="1">
      <c r="B32" s="86"/>
      <c r="C32" s="19" t="s">
        <v>20</v>
      </c>
      <c r="D32" s="20">
        <f>+D25+D26</f>
        <v>13000</v>
      </c>
      <c r="E32" s="66">
        <f>+E25</f>
        <v>2.1022440000000002</v>
      </c>
      <c r="F32" s="21"/>
      <c r="G32" s="53">
        <f>+D32*E32</f>
        <v>27329.172000000002</v>
      </c>
      <c r="H32" s="22"/>
      <c r="I32" s="97"/>
      <c r="J32" s="86"/>
      <c r="K32" s="10"/>
      <c r="S32" s="97"/>
    </row>
    <row r="33" spans="2:19" s="45" customFormat="1" ht="12" customHeight="1">
      <c r="B33" s="86"/>
      <c r="C33" s="19" t="s">
        <v>10</v>
      </c>
      <c r="D33" s="26">
        <v>0.11</v>
      </c>
      <c r="E33" s="24"/>
      <c r="F33" s="21"/>
      <c r="G33" s="21"/>
      <c r="H33" s="22">
        <f>+F38*D33</f>
        <v>7941.2544640000015</v>
      </c>
      <c r="I33" s="97"/>
      <c r="J33" s="86"/>
      <c r="K33" s="10"/>
      <c r="S33" s="97"/>
    </row>
    <row r="34" spans="2:19" s="45" customFormat="1" ht="12" customHeight="1">
      <c r="B34" s="86"/>
      <c r="C34" s="19" t="s">
        <v>11</v>
      </c>
      <c r="D34" s="26">
        <v>0.03</v>
      </c>
      <c r="E34" s="24"/>
      <c r="F34" s="21"/>
      <c r="G34" s="21"/>
      <c r="H34" s="22">
        <f>+F38*D34</f>
        <v>2165.7966720000004</v>
      </c>
      <c r="I34" s="97"/>
      <c r="J34" s="86"/>
      <c r="K34" s="61"/>
      <c r="S34" s="97"/>
    </row>
    <row r="35" spans="2:19" s="45" customFormat="1" ht="12" customHeight="1">
      <c r="B35" s="86"/>
      <c r="C35" s="19" t="s">
        <v>12</v>
      </c>
      <c r="D35" s="26">
        <v>0.03</v>
      </c>
      <c r="E35" s="24"/>
      <c r="F35" s="21"/>
      <c r="G35" s="21"/>
      <c r="H35" s="22">
        <f>+F38*D35</f>
        <v>2165.7966720000004</v>
      </c>
      <c r="I35" s="97"/>
      <c r="J35" s="86"/>
      <c r="K35" s="10"/>
      <c r="S35" s="97"/>
    </row>
    <row r="36" spans="2:19" s="45" customFormat="1" ht="12" customHeight="1">
      <c r="B36" s="86"/>
      <c r="C36" s="19" t="s">
        <v>13</v>
      </c>
      <c r="D36" s="26">
        <v>0.03</v>
      </c>
      <c r="E36" s="24"/>
      <c r="F36" s="21"/>
      <c r="G36" s="21"/>
      <c r="H36" s="22">
        <f>+F38*D36</f>
        <v>2165.7966720000004</v>
      </c>
      <c r="I36" s="97"/>
      <c r="J36" s="86"/>
      <c r="K36" s="10"/>
      <c r="S36" s="97"/>
    </row>
    <row r="37" spans="2:19" s="62" customFormat="1" ht="12" customHeight="1">
      <c r="B37" s="87"/>
      <c r="C37" s="19" t="s">
        <v>21</v>
      </c>
      <c r="D37" s="26"/>
      <c r="E37" s="24"/>
      <c r="F37" s="21"/>
      <c r="G37" s="21"/>
      <c r="H37" s="22">
        <v>156.36</v>
      </c>
      <c r="I37" s="99"/>
      <c r="J37" s="87"/>
      <c r="K37" s="63"/>
      <c r="S37" s="99"/>
    </row>
    <row r="38" spans="2:19" s="45" customFormat="1" ht="12" customHeight="1">
      <c r="B38" s="86"/>
      <c r="C38" s="54" t="s">
        <v>14</v>
      </c>
      <c r="D38" s="55"/>
      <c r="E38" s="56"/>
      <c r="F38" s="57">
        <f>SUM(F24:F37)</f>
        <v>72193.22240000001</v>
      </c>
      <c r="G38" s="57">
        <f>SUM(G24:G37)</f>
        <v>28748.208000000002</v>
      </c>
      <c r="H38" s="58">
        <f>SUM(H24:H37)</f>
        <v>14595.004480000003</v>
      </c>
      <c r="I38" s="97"/>
      <c r="J38" s="86"/>
      <c r="K38" s="10"/>
      <c r="S38" s="97"/>
    </row>
    <row r="39" spans="2:19" s="45" customFormat="1" ht="12" customHeight="1">
      <c r="B39" s="86"/>
      <c r="C39" s="121" t="s">
        <v>15</v>
      </c>
      <c r="D39" s="122"/>
      <c r="E39" s="122"/>
      <c r="F39" s="122"/>
      <c r="G39" s="123"/>
      <c r="H39" s="64">
        <f>+F38+G38-H38</f>
        <v>86346.42592000001</v>
      </c>
      <c r="I39" s="97"/>
      <c r="J39" s="86"/>
      <c r="K39" s="127">
        <f>H39-H19</f>
        <v>14417.130986666685</v>
      </c>
      <c r="L39" s="128"/>
      <c r="S39" s="97"/>
    </row>
    <row r="40" spans="2:19" ht="15" thickBot="1">
      <c r="B40" s="88"/>
      <c r="C40" s="83"/>
      <c r="D40" s="83"/>
      <c r="E40" s="83"/>
      <c r="F40" s="83"/>
      <c r="G40" s="83"/>
      <c r="H40" s="83"/>
      <c r="I40" s="100"/>
      <c r="J40" s="88"/>
      <c r="K40" s="83"/>
      <c r="L40" s="83"/>
      <c r="M40" s="83"/>
      <c r="N40" s="83"/>
      <c r="O40" s="83"/>
      <c r="P40" s="83"/>
      <c r="Q40" s="83"/>
      <c r="R40" s="83"/>
      <c r="S40" s="100"/>
    </row>
    <row r="41" spans="2:19" ht="15.75" thickTop="1">
      <c r="B41" s="91"/>
      <c r="C41" s="107" t="s">
        <v>43</v>
      </c>
      <c r="D41" s="92"/>
      <c r="E41" s="92"/>
      <c r="F41" s="92"/>
      <c r="G41" s="92"/>
      <c r="H41" s="92"/>
      <c r="I41" s="93"/>
      <c r="J41" s="91"/>
      <c r="K41" s="92"/>
      <c r="L41" s="92"/>
      <c r="M41" s="92"/>
      <c r="N41" s="92"/>
      <c r="O41" s="92"/>
      <c r="P41" s="92"/>
      <c r="Q41" s="92"/>
      <c r="R41" s="92"/>
      <c r="S41" s="93"/>
    </row>
    <row r="42" spans="2:19" ht="14.25">
      <c r="B42" s="84"/>
      <c r="C42" s="94"/>
      <c r="D42" s="94"/>
      <c r="E42" s="75">
        <v>0.2</v>
      </c>
      <c r="F42" s="94"/>
      <c r="G42" s="94"/>
      <c r="H42" s="94"/>
      <c r="I42" s="95"/>
      <c r="J42" s="84"/>
      <c r="K42" s="94"/>
      <c r="L42" s="94"/>
      <c r="M42" s="94"/>
      <c r="N42" s="94"/>
      <c r="O42" s="94"/>
      <c r="P42" s="94"/>
      <c r="Q42" s="94"/>
      <c r="R42" s="94"/>
      <c r="S42" s="95"/>
    </row>
    <row r="43" spans="2:19" s="59" customFormat="1" ht="12" customHeight="1">
      <c r="B43" s="85"/>
      <c r="C43" s="65" t="s">
        <v>7</v>
      </c>
      <c r="D43" s="65" t="s">
        <v>16</v>
      </c>
      <c r="E43" s="65" t="s">
        <v>17</v>
      </c>
      <c r="F43" s="65" t="s">
        <v>8</v>
      </c>
      <c r="G43" s="65" t="s">
        <v>18</v>
      </c>
      <c r="H43" s="65" t="s">
        <v>19</v>
      </c>
      <c r="I43" s="96"/>
      <c r="J43" s="85"/>
      <c r="K43" s="117" t="s">
        <v>46</v>
      </c>
      <c r="L43" s="118"/>
      <c r="M43" s="118"/>
      <c r="N43" s="118"/>
      <c r="O43" s="118"/>
      <c r="P43" s="119"/>
      <c r="S43" s="96"/>
    </row>
    <row r="44" spans="2:19" s="45" customFormat="1" ht="12" customHeight="1">
      <c r="B44" s="86"/>
      <c r="C44" s="14" t="s">
        <v>0</v>
      </c>
      <c r="D44" s="15">
        <v>30</v>
      </c>
      <c r="E44" s="16">
        <f>E24+(E24*E42)</f>
        <v>31533.1632</v>
      </c>
      <c r="F44" s="52">
        <f>(E44/30)*D44</f>
        <v>31533.163200000003</v>
      </c>
      <c r="G44" s="17"/>
      <c r="H44" s="18"/>
      <c r="I44" s="97"/>
      <c r="J44" s="86"/>
      <c r="K44" s="125" t="s">
        <v>39</v>
      </c>
      <c r="L44" s="125"/>
      <c r="M44" s="125"/>
      <c r="N44" s="125"/>
      <c r="O44" s="125"/>
      <c r="P44" s="125"/>
      <c r="Q44" s="59"/>
      <c r="R44" s="59"/>
      <c r="S44" s="97"/>
    </row>
    <row r="45" spans="2:19" s="45" customFormat="1" ht="12" customHeight="1">
      <c r="B45" s="86"/>
      <c r="C45" s="19" t="s">
        <v>1</v>
      </c>
      <c r="D45" s="20">
        <v>10000</v>
      </c>
      <c r="E45" s="34">
        <f>E25+(E25*E42)</f>
        <v>2.5226928</v>
      </c>
      <c r="F45" s="53">
        <f>+D45*E45</f>
        <v>25226.928000000004</v>
      </c>
      <c r="G45" s="21"/>
      <c r="H45" s="22"/>
      <c r="I45" s="97"/>
      <c r="J45" s="86"/>
      <c r="K45" s="80" t="s">
        <v>32</v>
      </c>
      <c r="L45" s="80" t="s">
        <v>33</v>
      </c>
      <c r="M45" s="80" t="s">
        <v>34</v>
      </c>
      <c r="N45" s="80" t="s">
        <v>35</v>
      </c>
      <c r="O45" s="80" t="s">
        <v>36</v>
      </c>
      <c r="P45" s="80" t="s">
        <v>37</v>
      </c>
      <c r="Q45" s="80" t="s">
        <v>38</v>
      </c>
      <c r="S45" s="97"/>
    </row>
    <row r="46" spans="2:19" s="45" customFormat="1" ht="12" customHeight="1">
      <c r="B46" s="86"/>
      <c r="C46" s="19" t="s">
        <v>2</v>
      </c>
      <c r="D46" s="20">
        <v>3000</v>
      </c>
      <c r="E46" s="34">
        <f>+E45*2</f>
        <v>5.0453856</v>
      </c>
      <c r="F46" s="53">
        <f>+D46*E46</f>
        <v>15136.1568</v>
      </c>
      <c r="G46" s="21"/>
      <c r="H46" s="22"/>
      <c r="I46" s="98"/>
      <c r="J46" s="89"/>
      <c r="K46" s="68">
        <v>0.1253</v>
      </c>
      <c r="L46" s="69">
        <v>0.016</v>
      </c>
      <c r="M46" s="69">
        <v>0.0109</v>
      </c>
      <c r="N46" s="69">
        <v>0.0548</v>
      </c>
      <c r="O46" s="70">
        <v>0.06</v>
      </c>
      <c r="P46" s="70">
        <v>0.02</v>
      </c>
      <c r="Q46" s="68">
        <v>0.015</v>
      </c>
      <c r="R46" s="81" t="s">
        <v>40</v>
      </c>
      <c r="S46" s="97"/>
    </row>
    <row r="47" spans="2:19" s="45" customFormat="1" ht="12" customHeight="1">
      <c r="B47" s="86"/>
      <c r="C47" s="19" t="s">
        <v>3</v>
      </c>
      <c r="D47" s="20">
        <v>8</v>
      </c>
      <c r="E47" s="23">
        <f>E27+(E27*E42)</f>
        <v>1313.8817999999999</v>
      </c>
      <c r="F47" s="53">
        <f>+D47*E47</f>
        <v>10511.054399999999</v>
      </c>
      <c r="G47" s="21"/>
      <c r="H47" s="22"/>
      <c r="I47" s="98"/>
      <c r="J47" s="89"/>
      <c r="K47" s="72">
        <f>(F58-7003.68)*K46</f>
        <v>11175.913771915199</v>
      </c>
      <c r="L47" s="73">
        <f>(F58-7003.68)*L46</f>
        <v>1427.091942144</v>
      </c>
      <c r="M47" s="73">
        <f>(F58-7003.68)*M46</f>
        <v>972.2063855856</v>
      </c>
      <c r="N47" s="73">
        <f>(F58-7003.68)*N46</f>
        <v>4887.7899018432</v>
      </c>
      <c r="O47" s="73">
        <f>+F58*O46</f>
        <v>5771.81558304</v>
      </c>
      <c r="P47" s="73">
        <f>+F58*P46</f>
        <v>1923.93852768</v>
      </c>
      <c r="Q47" s="73">
        <f>+F58*Q46</f>
        <v>1442.95389576</v>
      </c>
      <c r="R47" s="74">
        <f>SUM(K47:Q47)</f>
        <v>27601.710007968</v>
      </c>
      <c r="S47" s="97"/>
    </row>
    <row r="48" spans="2:19" s="45" customFormat="1" ht="12" customHeight="1">
      <c r="B48" s="86"/>
      <c r="C48" s="19" t="s">
        <v>4</v>
      </c>
      <c r="D48" s="20">
        <v>7</v>
      </c>
      <c r="E48" s="23">
        <f>+E44/24</f>
        <v>1313.8817999999999</v>
      </c>
      <c r="F48" s="53">
        <f>+E48*D48</f>
        <v>9197.1726</v>
      </c>
      <c r="G48" s="21"/>
      <c r="H48" s="22"/>
      <c r="I48" s="98"/>
      <c r="J48" s="89"/>
      <c r="K48" s="9"/>
      <c r="S48" s="97"/>
    </row>
    <row r="49" spans="2:19" s="45" customFormat="1" ht="12" customHeight="1">
      <c r="B49" s="86"/>
      <c r="C49" s="19" t="s">
        <v>6</v>
      </c>
      <c r="D49" s="20">
        <v>1</v>
      </c>
      <c r="E49" s="23">
        <f>E29+(E29*E42)</f>
        <v>892.5696</v>
      </c>
      <c r="F49" s="53">
        <f>+E49*D49</f>
        <v>892.5696</v>
      </c>
      <c r="G49" s="21"/>
      <c r="H49" s="22"/>
      <c r="I49" s="97"/>
      <c r="J49" s="86"/>
      <c r="K49" s="9"/>
      <c r="P49" s="81" t="s">
        <v>41</v>
      </c>
      <c r="Q49" s="82"/>
      <c r="R49" s="71">
        <f>+F58+G58+R47</f>
        <v>158296.48599196802</v>
      </c>
      <c r="S49" s="97"/>
    </row>
    <row r="50" spans="2:19" s="45" customFormat="1" ht="12" customHeight="1" thickBot="1">
      <c r="B50" s="86"/>
      <c r="C50" s="19" t="s">
        <v>9</v>
      </c>
      <c r="D50" s="20">
        <v>4</v>
      </c>
      <c r="E50" s="24"/>
      <c r="F50" s="53">
        <f>SUM(F44:F49)*0.01*D50</f>
        <v>3699.8817840000006</v>
      </c>
      <c r="G50" s="21"/>
      <c r="H50" s="22"/>
      <c r="I50" s="97"/>
      <c r="J50" s="86"/>
      <c r="K50" s="10"/>
      <c r="S50" s="97"/>
    </row>
    <row r="51" spans="2:19" s="45" customFormat="1" ht="12" customHeight="1" thickBot="1">
      <c r="B51" s="86"/>
      <c r="C51" s="19" t="s">
        <v>5</v>
      </c>
      <c r="D51" s="20">
        <f>+D49</f>
        <v>1</v>
      </c>
      <c r="E51" s="23">
        <f>+E31+(E31*E42)</f>
        <v>1702.8432</v>
      </c>
      <c r="F51" s="21"/>
      <c r="G51" s="53">
        <f>+E51*D51</f>
        <v>1702.8432</v>
      </c>
      <c r="H51" s="22"/>
      <c r="I51" s="97"/>
      <c r="J51" s="86"/>
      <c r="M51" s="129" t="s">
        <v>44</v>
      </c>
      <c r="N51" s="130"/>
      <c r="O51" s="130"/>
      <c r="P51" s="130"/>
      <c r="Q51" s="131"/>
      <c r="R51" s="77">
        <f>R49-R29</f>
        <v>37198.032814367994</v>
      </c>
      <c r="S51" s="97"/>
    </row>
    <row r="52" spans="2:19" s="45" customFormat="1" ht="12" customHeight="1" thickBot="1">
      <c r="B52" s="86"/>
      <c r="C52" s="19" t="s">
        <v>20</v>
      </c>
      <c r="D52" s="20">
        <f>+D45+D46</f>
        <v>13000</v>
      </c>
      <c r="E52" s="66">
        <f>+E45</f>
        <v>2.5226928</v>
      </c>
      <c r="F52" s="21"/>
      <c r="G52" s="53">
        <f>+D52*E52</f>
        <v>32795.006400000006</v>
      </c>
      <c r="H52" s="22"/>
      <c r="I52" s="97"/>
      <c r="J52" s="86"/>
      <c r="K52" s="10"/>
      <c r="M52" s="129" t="s">
        <v>45</v>
      </c>
      <c r="N52" s="130"/>
      <c r="O52" s="130"/>
      <c r="P52" s="130"/>
      <c r="Q52" s="131"/>
      <c r="R52" s="76">
        <f>R49/R29-1</f>
        <v>0.30717182456339276</v>
      </c>
      <c r="S52" s="97"/>
    </row>
    <row r="53" spans="2:19" s="45" customFormat="1" ht="12" customHeight="1">
      <c r="B53" s="86"/>
      <c r="C53" s="19" t="s">
        <v>10</v>
      </c>
      <c r="D53" s="26">
        <v>0.11</v>
      </c>
      <c r="E53" s="24"/>
      <c r="F53" s="21"/>
      <c r="G53" s="21"/>
      <c r="H53" s="22">
        <f>+F58*D53</f>
        <v>10581.661902240001</v>
      </c>
      <c r="I53" s="97"/>
      <c r="J53" s="86"/>
      <c r="K53" s="10"/>
      <c r="M53" s="108" t="s">
        <v>50</v>
      </c>
      <c r="N53" s="108"/>
      <c r="O53" s="108"/>
      <c r="P53" s="108"/>
      <c r="Q53" s="108"/>
      <c r="R53" s="108"/>
      <c r="S53" s="97"/>
    </row>
    <row r="54" spans="2:19" s="45" customFormat="1" ht="12" customHeight="1">
      <c r="B54" s="86"/>
      <c r="C54" s="19" t="s">
        <v>11</v>
      </c>
      <c r="D54" s="26">
        <v>0.03</v>
      </c>
      <c r="E54" s="24"/>
      <c r="F54" s="21"/>
      <c r="G54" s="21"/>
      <c r="H54" s="22">
        <f>+F58*D54</f>
        <v>2885.90779152</v>
      </c>
      <c r="I54" s="97"/>
      <c r="J54" s="86"/>
      <c r="K54" s="61"/>
      <c r="S54" s="97"/>
    </row>
    <row r="55" spans="2:19" s="45" customFormat="1" ht="12" customHeight="1">
      <c r="B55" s="86"/>
      <c r="C55" s="19" t="s">
        <v>12</v>
      </c>
      <c r="D55" s="26">
        <v>0.03</v>
      </c>
      <c r="E55" s="24"/>
      <c r="F55" s="21"/>
      <c r="G55" s="21"/>
      <c r="H55" s="22">
        <f>+F58*D55</f>
        <v>2885.90779152</v>
      </c>
      <c r="I55" s="97"/>
      <c r="J55" s="86"/>
      <c r="K55" s="10"/>
      <c r="S55" s="97"/>
    </row>
    <row r="56" spans="2:19" s="45" customFormat="1" ht="12" customHeight="1">
      <c r="B56" s="86"/>
      <c r="C56" s="19" t="s">
        <v>13</v>
      </c>
      <c r="D56" s="26">
        <v>0.03</v>
      </c>
      <c r="E56" s="24"/>
      <c r="F56" s="21"/>
      <c r="G56" s="21"/>
      <c r="H56" s="22">
        <f>+F58*D56</f>
        <v>2885.90779152</v>
      </c>
      <c r="I56" s="97"/>
      <c r="J56" s="86"/>
      <c r="K56" s="10"/>
      <c r="S56" s="97"/>
    </row>
    <row r="57" spans="2:19" s="62" customFormat="1" ht="12" customHeight="1">
      <c r="B57" s="87"/>
      <c r="C57" s="19" t="s">
        <v>21</v>
      </c>
      <c r="D57" s="26"/>
      <c r="E57" s="24"/>
      <c r="F57" s="21"/>
      <c r="G57" s="21"/>
      <c r="H57" s="22">
        <v>156.36</v>
      </c>
      <c r="I57" s="99"/>
      <c r="J57" s="87"/>
      <c r="K57" s="63"/>
      <c r="S57" s="99"/>
    </row>
    <row r="58" spans="2:19" s="45" customFormat="1" ht="12" customHeight="1">
      <c r="B58" s="86"/>
      <c r="C58" s="54" t="s">
        <v>14</v>
      </c>
      <c r="D58" s="55"/>
      <c r="E58" s="56"/>
      <c r="F58" s="57">
        <f>SUM(F44:F57)</f>
        <v>96196.926384</v>
      </c>
      <c r="G58" s="57">
        <f>SUM(G44:G57)</f>
        <v>34497.84960000001</v>
      </c>
      <c r="H58" s="58">
        <f>SUM(H44:H57)</f>
        <v>19395.7452768</v>
      </c>
      <c r="I58" s="97"/>
      <c r="J58" s="86"/>
      <c r="K58" s="10"/>
      <c r="S58" s="97"/>
    </row>
    <row r="59" spans="2:19" s="45" customFormat="1" ht="12" customHeight="1">
      <c r="B59" s="86"/>
      <c r="C59" s="121" t="s">
        <v>15</v>
      </c>
      <c r="D59" s="122"/>
      <c r="E59" s="122"/>
      <c r="F59" s="122"/>
      <c r="G59" s="123"/>
      <c r="H59" s="64">
        <f>+F58+G58-H58</f>
        <v>111299.0307072</v>
      </c>
      <c r="I59" s="97"/>
      <c r="J59" s="86"/>
      <c r="K59" s="127">
        <f>+H59-H39</f>
        <v>24952.60478719999</v>
      </c>
      <c r="L59" s="128"/>
      <c r="S59" s="97"/>
    </row>
    <row r="60" spans="2:19" ht="14.25">
      <c r="B60" s="84"/>
      <c r="C60" s="94"/>
      <c r="D60" s="94"/>
      <c r="E60" s="94"/>
      <c r="F60" s="94"/>
      <c r="G60" s="94"/>
      <c r="H60" s="94"/>
      <c r="I60" s="95"/>
      <c r="J60" s="84"/>
      <c r="K60" s="126"/>
      <c r="L60" s="126"/>
      <c r="M60" s="94"/>
      <c r="N60" s="94"/>
      <c r="O60" s="94"/>
      <c r="P60" s="94"/>
      <c r="Q60" s="94"/>
      <c r="R60" s="94"/>
      <c r="S60" s="95"/>
    </row>
    <row r="61" spans="2:19" ht="8.25" customHeight="1" thickBot="1">
      <c r="B61" s="88"/>
      <c r="C61" s="83"/>
      <c r="D61" s="83"/>
      <c r="E61" s="83"/>
      <c r="F61" s="83"/>
      <c r="G61" s="83"/>
      <c r="H61" s="83"/>
      <c r="I61" s="100"/>
      <c r="J61" s="88"/>
      <c r="K61" s="83"/>
      <c r="L61" s="83"/>
      <c r="M61" s="83"/>
      <c r="N61" s="83"/>
      <c r="O61" s="83"/>
      <c r="P61" s="83"/>
      <c r="Q61" s="83"/>
      <c r="R61" s="83"/>
      <c r="S61" s="100"/>
    </row>
    <row r="62" spans="2:19" ht="15" thickTop="1">
      <c r="B62" s="91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3"/>
    </row>
    <row r="63" spans="2:19" ht="14.25">
      <c r="B63" s="84"/>
      <c r="C63" s="94" t="s">
        <v>47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5"/>
    </row>
    <row r="64" spans="2:19" ht="14.25">
      <c r="B64" s="84"/>
      <c r="C64" s="94" t="s">
        <v>48</v>
      </c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5"/>
    </row>
    <row r="65" spans="2:19" ht="14.25">
      <c r="B65" s="84"/>
      <c r="C65" s="94" t="s">
        <v>49</v>
      </c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</row>
    <row r="66" spans="2:19" ht="15" thickBot="1">
      <c r="B66" s="88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100"/>
    </row>
    <row r="67" ht="15" thickTop="1"/>
  </sheetData>
  <sheetProtection/>
  <mergeCells count="16">
    <mergeCell ref="K60:L60"/>
    <mergeCell ref="K44:P44"/>
    <mergeCell ref="C59:G59"/>
    <mergeCell ref="K39:L39"/>
    <mergeCell ref="K59:L59"/>
    <mergeCell ref="M51:Q51"/>
    <mergeCell ref="M52:Q52"/>
    <mergeCell ref="K3:P3"/>
    <mergeCell ref="K12:P12"/>
    <mergeCell ref="K13:P13"/>
    <mergeCell ref="K23:P23"/>
    <mergeCell ref="K43:P43"/>
    <mergeCell ref="C19:G19"/>
    <mergeCell ref="C39:G39"/>
    <mergeCell ref="K4:P4"/>
    <mergeCell ref="K24:P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AlejandroP</dc:creator>
  <cp:keywords/>
  <dc:description/>
  <cp:lastModifiedBy>Emilio Felcman</cp:lastModifiedBy>
  <cp:lastPrinted>2019-05-09T15:22:22Z</cp:lastPrinted>
  <dcterms:created xsi:type="dcterms:W3CDTF">2016-10-05T12:31:11Z</dcterms:created>
  <dcterms:modified xsi:type="dcterms:W3CDTF">2019-05-10T20:48:20Z</dcterms:modified>
  <cp:category/>
  <cp:version/>
  <cp:contentType/>
  <cp:contentStatus/>
</cp:coreProperties>
</file>